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projectadvocatesllc.sharepoint.com/sites/265/Shared Documents/PA Private/Consultants and CMAR/CMAR/RFP Process/"/>
    </mc:Choice>
  </mc:AlternateContent>
  <xr:revisionPtr revIDLastSave="66" documentId="8_{78EA2F84-F7EF-433D-AFD7-FA86FCCEEC0B}" xr6:coauthVersionLast="47" xr6:coauthVersionMax="47" xr10:uidLastSave="{245CE70F-1E92-46D6-AC24-18BE2392C6FD}"/>
  <bookViews>
    <workbookView xWindow="-28920" yWindow="3150" windowWidth="29040" windowHeight="15720" activeTab="1" xr2:uid="{00000000-000D-0000-FFFF-FFFF00000000}"/>
  </bookViews>
  <sheets>
    <sheet name="RECAP" sheetId="3" r:id="rId1"/>
    <sheet name="ALTERNATES" sheetId="6" r:id="rId2"/>
    <sheet name="ESTIMATE" sheetId="20" r:id="rId3"/>
    <sheet name="RFP GCS" sheetId="19" r:id="rId4"/>
  </sheets>
  <definedNames>
    <definedName name="_xlnm._FilterDatabase" localSheetId="0" hidden="1">RECAP!$C$7:$AB$77</definedName>
    <definedName name="_Order1" hidden="1">255</definedName>
    <definedName name="_Order2" hidden="1">255</definedName>
    <definedName name="AGC">RECAP!#REF!</definedName>
    <definedName name="ALT.1">ALTERNATES!$C$66</definedName>
    <definedName name="ALT.10">ALTERNATES!$C$337</definedName>
    <definedName name="ALT.11">ALTERNATES!$C$366</definedName>
    <definedName name="ALT.12">ALTERNATES!$C$395</definedName>
    <definedName name="ALT.13">ALTERNATES!$C$426</definedName>
    <definedName name="ALT.14">ALTERNATES!$C$459</definedName>
    <definedName name="ALT.15">ALTERNATES!$C$491</definedName>
    <definedName name="ALT.16">ALTERNATES!$C$520</definedName>
    <definedName name="ALT.17">ALTERNATES!$C$549</definedName>
    <definedName name="ALT.18">ALTERNATES!$C$583</definedName>
    <definedName name="ALT.19">ALTERNATES!$C$612</definedName>
    <definedName name="ALT.2">ALTERNATES!$C$94</definedName>
    <definedName name="ALT.20">ALTERNATES!$C$641</definedName>
    <definedName name="ALT.3">ALTERNATES!$C$126</definedName>
    <definedName name="ALT.4">ALTERNATES!$C$155</definedName>
    <definedName name="ALT.5">ALTERNATES!$C$184</definedName>
    <definedName name="ALT.6">ALTERNATES!$C$219</definedName>
    <definedName name="ALT.7">ALTERNATES!$C$250</definedName>
    <definedName name="ALT.8">ALTERNATES!$C$279</definedName>
    <definedName name="ALT.9">ALTERNATES!$C$308</definedName>
    <definedName name="ALTBOND">#REF!</definedName>
    <definedName name="ALTBP">#REF!</definedName>
    <definedName name="ALTBR">#REF!</definedName>
    <definedName name="ALTCONTINGENCY">#REF!</definedName>
    <definedName name="ALTFEE">#REF!</definedName>
    <definedName name="ALTGL">#REF!</definedName>
    <definedName name="ALTLB">#REF!</definedName>
    <definedName name="ALTRT">#REF!</definedName>
    <definedName name="ALTSG">#REF!</definedName>
    <definedName name="ALTST">#REF!</definedName>
    <definedName name="Area">#REF!</definedName>
    <definedName name="Area3">#REF!</definedName>
    <definedName name="Area4">#REF!</definedName>
    <definedName name="BID_BOND">#REF!</definedName>
    <definedName name="BID_BP">#REF!</definedName>
    <definedName name="BID_BR">#REF!</definedName>
    <definedName name="BID_CONTINGENCY">#REF!</definedName>
    <definedName name="BID_DATE">#REF!</definedName>
    <definedName name="BID_FEE">#REF!</definedName>
    <definedName name="BID_GL">#REF!</definedName>
    <definedName name="BID_RENOVATION">#REF!</definedName>
    <definedName name="BID_SG">#REF!</definedName>
    <definedName name="BO_01">#REF!</definedName>
    <definedName name="BO_02">#REF!</definedName>
    <definedName name="BO_03">#REF!</definedName>
    <definedName name="BO_04">#REF!</definedName>
    <definedName name="BO_05">#REF!</definedName>
    <definedName name="BO_06">#REF!</definedName>
    <definedName name="BO_07">#REF!</definedName>
    <definedName name="BO_08">#REF!</definedName>
    <definedName name="BO_09">#REF!</definedName>
    <definedName name="BO_10">#REF!</definedName>
    <definedName name="BO_11">#REF!</definedName>
    <definedName name="BO_12">#REF!</definedName>
    <definedName name="BO_13">#REF!</definedName>
    <definedName name="BO_14">#REF!</definedName>
    <definedName name="BO_15">#REF!</definedName>
    <definedName name="BO_16">#REF!</definedName>
    <definedName name="BO_17">#REF!</definedName>
    <definedName name="BO_18">#REF!</definedName>
    <definedName name="BO_19">#REF!</definedName>
    <definedName name="BO_20">#REF!</definedName>
    <definedName name="BOND">#REF!</definedName>
    <definedName name="BP">#REF!</definedName>
    <definedName name="BR">RECAP!#REF!</definedName>
    <definedName name="CARPENTER">#REF!</definedName>
    <definedName name="CCIP_BOND">#REF!</definedName>
    <definedName name="CCIP_BP">#REF!</definedName>
    <definedName name="CCIP_BR">#REF!</definedName>
    <definedName name="CCIP_CONTINGENCY">#REF!</definedName>
    <definedName name="CCIP_FEE">#REF!</definedName>
    <definedName name="CCIP_GL">#REF!</definedName>
    <definedName name="CCIP_RENOVATION">#REF!</definedName>
    <definedName name="CCIP_SG">#REF!</definedName>
    <definedName name="CLEAN">#REF!</definedName>
    <definedName name="comtrad" hidden="1">{"SUMMARY",#N/A,FALSE,"Fin_sched"}</definedName>
    <definedName name="CONTINGENCY">RECAP!#REF!</definedName>
    <definedName name="Cost">#REF!</definedName>
    <definedName name="DATE">#REF!</definedName>
    <definedName name="DAYS">#REF!</definedName>
    <definedName name="DESIGN_CONT.">RECAP!#REF!</definedName>
    <definedName name="DIV_01" localSheetId="2">ESTIMATE!#REF!</definedName>
    <definedName name="DIV_01">#REF!</definedName>
    <definedName name="DIV_02" localSheetId="2">ESTIMATE!$F$44</definedName>
    <definedName name="DIV_02">#REF!</definedName>
    <definedName name="DIV_03" localSheetId="2">ESTIMATE!$F$281</definedName>
    <definedName name="DIV_03">#REF!</definedName>
    <definedName name="DIV_04" localSheetId="2">ESTIMATE!$F$346</definedName>
    <definedName name="DIV_04">#REF!</definedName>
    <definedName name="DIV_05" localSheetId="2">ESTIMATE!$F$383</definedName>
    <definedName name="DIV_05">#REF!</definedName>
    <definedName name="DIV_06" localSheetId="2">ESTIMATE!$F$418</definedName>
    <definedName name="DIV_06">#REF!</definedName>
    <definedName name="DIV_07" localSheetId="2">ESTIMATE!#REF!</definedName>
    <definedName name="DIV_07">#REF!</definedName>
    <definedName name="DIV_08" localSheetId="2">ESTIMATE!$F$544</definedName>
    <definedName name="DIV_08">#REF!</definedName>
    <definedName name="DIV_09" localSheetId="2">ESTIMATE!$F$611</definedName>
    <definedName name="DIV_09">#REF!</definedName>
    <definedName name="DIV_10" localSheetId="2">ESTIMATE!$F$692</definedName>
    <definedName name="DIV_10">#REF!</definedName>
    <definedName name="DIV_11" localSheetId="2">ESTIMATE!$F$778</definedName>
    <definedName name="DIV_11">#REF!</definedName>
    <definedName name="DIV_12" localSheetId="2">ESTIMATE!$F$836</definedName>
    <definedName name="DIV_12">#REF!</definedName>
    <definedName name="DIV_13" localSheetId="2">ESTIMATE!#REF!</definedName>
    <definedName name="DIV_13">#REF!</definedName>
    <definedName name="DIV_14" localSheetId="2">ESTIMATE!#REF!</definedName>
    <definedName name="DIV_14">#REF!</definedName>
    <definedName name="DIV_15" localSheetId="2">ESTIMATE!$F$852</definedName>
    <definedName name="DIV_15">#REF!</definedName>
    <definedName name="DIV_16" localSheetId="2">ESTIMATE!$F$924</definedName>
    <definedName name="DIV_16">#REF!</definedName>
    <definedName name="FEE">RECAP!#REF!</definedName>
    <definedName name="FOREMAN">#REF!</definedName>
    <definedName name="GCLB">#REF!</definedName>
    <definedName name="GCST">#REF!</definedName>
    <definedName name="GL">RECAP!#REF!</definedName>
    <definedName name="JUNK" hidden="1">{"SCHEDULE",#N/A,FALSE,"Fin_sched"}</definedName>
    <definedName name="JUNK2" hidden="1">{"SUMMARY",#N/A,FALSE,"Fin_sched"}</definedName>
    <definedName name="LABORER">#REF!</definedName>
    <definedName name="LB">#REF!</definedName>
    <definedName name="LOCATION">#REF!</definedName>
    <definedName name="MONTHS">#REF!</definedName>
    <definedName name="MOS">#REF!</definedName>
    <definedName name="NAME">#REF!</definedName>
    <definedName name="NUMBER">#REF!</definedName>
    <definedName name="Perimeter">#REF!</definedName>
    <definedName name="Perimeter3">#REF!</definedName>
    <definedName name="Perimeter4">#REF!</definedName>
    <definedName name="PERMIT">#REF!</definedName>
    <definedName name="_xlnm.Print_Area" localSheetId="1">ALTERNATES!$D$3:$T$32</definedName>
    <definedName name="_xlnm.Print_Area" localSheetId="2">ESTIMATE!$E$10:$Q$994</definedName>
    <definedName name="_xlnm.Print_Area" localSheetId="0">RECAP!$E$2:$AB$79</definedName>
    <definedName name="_xlnm.Print_Area" localSheetId="3">'RFP GCS'!$C$2:$J$151</definedName>
    <definedName name="PROJECT">#REF!</definedName>
    <definedName name="REC_BOND">#REF!</definedName>
    <definedName name="REC_BP">#REF!</definedName>
    <definedName name="REC_BR">#REF!</definedName>
    <definedName name="REC_CLEAN">#REF!</definedName>
    <definedName name="REC_CONTINGENCY">#REF!</definedName>
    <definedName name="REC_FEE">#REF!</definedName>
    <definedName name="REC_GL">#REF!</definedName>
    <definedName name="REC_RENOVATION">#REF!</definedName>
    <definedName name="REC_SF">#REF!</definedName>
    <definedName name="REC_SG">#REF!</definedName>
    <definedName name="REC_SGSUB">#REF!</definedName>
    <definedName name="RENO_TAX">#REF!</definedName>
    <definedName name="RENOVATION">#REF!</definedName>
    <definedName name="SDI">RECAP!#REF!</definedName>
    <definedName name="SDI_COW">RECAP!#REF!</definedName>
    <definedName name="SDI_Line">RECAP!#REF!</definedName>
    <definedName name="SDIshow">#REF!</definedName>
    <definedName name="SF">#REF!</definedName>
    <definedName name="SG">#REF!</definedName>
    <definedName name="SGSUB">#REF!</definedName>
    <definedName name="SiteArea">#REF!</definedName>
    <definedName name="SitePerimeter">#REF!</definedName>
    <definedName name="SitePerimeter1">#REF!</definedName>
    <definedName name="SitePerimeter2">#REF!</definedName>
    <definedName name="ST">#REF!</definedName>
    <definedName name="SUMMARY">ALTERNATES!$D$6</definedName>
    <definedName name="TB_CLEAN">#REF!</definedName>
    <definedName name="TB_SG">#REF!</definedName>
    <definedName name="TIME">#REF!</definedName>
    <definedName name="VALUE">RECAP!#REF!</definedName>
    <definedName name="WEEKS">#REF!</definedName>
    <definedName name="WKS">#REF!</definedName>
    <definedName name="wrn.SCHEDULE." hidden="1">{"SCHEDULE",#N/A,FALSE,"Fin_sched"}</definedName>
    <definedName name="wrn.SUMMARY." hidden="1">{"SUMMARY",#N/A,FALSE,"Fin_sched"}</definedName>
    <definedName name="Z_535E9F70_182D_48CB_9581_CA017335B4B7_.wvu.FilterData" localSheetId="2" hidden="1">ESTIMATE!$A$9:$Q$1002</definedName>
    <definedName name="Z_5CDCCEA3_4F0B_4088_B8B2_4EFC457DADA3_.wvu.FilterData" localSheetId="2" hidden="1">ESTIMATE!$A$9:$Q$1002</definedName>
    <definedName name="Z_5CDCCEA3_4F0B_4088_B8B2_4EFC457DADA3_.wvu.FilterData" localSheetId="0" hidden="1">RECAP!$C$7:$AB$77</definedName>
    <definedName name="Z_8857A4CB_FCBB_4E96_8BF1_4560F6DCA1CB_.wvu.Cols" localSheetId="0" hidden="1">RECAP!$J:$AA</definedName>
    <definedName name="Z_8857A4CB_FCBB_4E96_8BF1_4560F6DCA1CB_.wvu.Cols" localSheetId="3" hidden="1">'RFP GCS'!$I:$I</definedName>
    <definedName name="Z_8857A4CB_FCBB_4E96_8BF1_4560F6DCA1CB_.wvu.FilterData" localSheetId="2" hidden="1">ESTIMATE!$A$9:$Q$1002</definedName>
    <definedName name="Z_8857A4CB_FCBB_4E96_8BF1_4560F6DCA1CB_.wvu.FilterData" localSheetId="0" hidden="1">RECAP!$C$7:$AB$77</definedName>
    <definedName name="Z_8857A4CB_FCBB_4E96_8BF1_4560F6DCA1CB_.wvu.FilterData" localSheetId="3" hidden="1">'RFP GCS'!$B$28:$K$149</definedName>
    <definedName name="Z_8857A4CB_FCBB_4E96_8BF1_4560F6DCA1CB_.wvu.PrintArea" localSheetId="2" hidden="1">ESTIMATE!$E$9:$P$958</definedName>
    <definedName name="Z_8857A4CB_FCBB_4E96_8BF1_4560F6DCA1CB_.wvu.PrintArea" localSheetId="0" hidden="1">RECAP!$E$2:$AB$77</definedName>
    <definedName name="Z_8857A4CB_FCBB_4E96_8BF1_4560F6DCA1CB_.wvu.PrintArea" localSheetId="3" hidden="1">'RFP GCS'!$C$2:$J$125</definedName>
    <definedName name="Z_8857A4CB_FCBB_4E96_8BF1_4560F6DCA1CB_.wvu.Rows" localSheetId="2" hidden="1">ESTIMATE!$1:$3</definedName>
    <definedName name="Z_8857A4CB_FCBB_4E96_8BF1_4560F6DCA1CB_.wvu.Rows" localSheetId="3" hidden="1">'RFP GCS'!#REF!</definedName>
    <definedName name="Z_D7E4F57A_ADB5_49A7_9D0F_C2719B920C29_.wvu.FilterData" localSheetId="2" hidden="1">ESTIMATE!$A$9:$Q$1002</definedName>
    <definedName name="Z_DA2733EA_C66C_4AD5_A74B_9E5916830BDA_.wvu.FilterData" localSheetId="2" hidden="1">ESTIMATE!$A$9:$Q$1002</definedName>
    <definedName name="Z_F958FDE5_3918_4251_92E7_5EF1610ECABB_.wvu.Cols" localSheetId="0" hidden="1">RECAP!$J:$AA</definedName>
    <definedName name="Z_F958FDE5_3918_4251_92E7_5EF1610ECABB_.wvu.FilterData" localSheetId="2" hidden="1">ESTIMATE!$A$9:$Q$1002</definedName>
    <definedName name="Z_F958FDE5_3918_4251_92E7_5EF1610ECABB_.wvu.FilterData" localSheetId="0" hidden="1">RECAP!$C$7:$AB$77</definedName>
    <definedName name="Z_F958FDE5_3918_4251_92E7_5EF1610ECABB_.wvu.FilterData" localSheetId="3" hidden="1">'RFP GCS'!$B$28:$K$149</definedName>
    <definedName name="Z_F958FDE5_3918_4251_92E7_5EF1610ECABB_.wvu.PrintArea" localSheetId="2" hidden="1">ESTIMATE!$E$9:$P$958</definedName>
    <definedName name="Z_F958FDE5_3918_4251_92E7_5EF1610ECABB_.wvu.PrintArea" localSheetId="0" hidden="1">RECAP!$E$2:$AB$77</definedName>
    <definedName name="Z_F958FDE5_3918_4251_92E7_5EF1610ECABB_.wvu.PrintArea" localSheetId="3" hidden="1">'RFP GCS'!$C$2:$J$125</definedName>
    <definedName name="Z_F958FDE5_3918_4251_92E7_5EF1610ECABB_.wvu.Rows" localSheetId="2" hidden="1">ESTIMATE!$1:$3</definedName>
    <definedName name="Z_F958FDE5_3918_4251_92E7_5EF1610ECABB_.wvu.Rows" localSheetId="3" hidden="1">'RFP GCS'!#REF!</definedName>
  </definedNames>
  <calcPr calcId="191029"/>
  <customWorkbookViews>
    <customWorkbookView name="Mark Gudgel, LEED Green Associate - Personal View" guid="{F958FDE5-3918-4251-92E7-5EF1610ECABB}" mergeInterval="0" personalView="1" maximized="1" xWindow="-8" yWindow="-8" windowWidth="1936" windowHeight="1056" activeSheetId="4"/>
    <customWorkbookView name="Mike Williams - Personal View" guid="{8857A4CB-FCBB-4E96-8BF1-4560F6DCA1CB}" mergeInterval="0" personalView="1" maximized="1" xWindow="-8" yWindow="-8" windowWidth="1936" windowHeight="105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9" i="19" l="1"/>
  <c r="J21" i="19" s="1"/>
  <c r="AB12" i="3"/>
  <c r="AD12" i="3"/>
  <c r="AE12" i="3"/>
  <c r="AF12" i="3"/>
  <c r="AG12" i="3"/>
  <c r="E88" i="19"/>
  <c r="F88" i="19" s="1"/>
  <c r="F92" i="19"/>
  <c r="C9" i="19"/>
  <c r="C10" i="19" s="1"/>
  <c r="F38" i="19" l="1"/>
  <c r="F36" i="19"/>
  <c r="F33" i="19"/>
  <c r="F34" i="19"/>
  <c r="F35" i="19"/>
  <c r="F37" i="19"/>
  <c r="F39" i="19"/>
  <c r="F47" i="19"/>
  <c r="F46" i="19"/>
  <c r="F45" i="19"/>
  <c r="F44" i="19"/>
  <c r="F43" i="19"/>
  <c r="F42" i="19"/>
  <c r="F41" i="19"/>
  <c r="F40" i="19"/>
  <c r="F32" i="19"/>
  <c r="C3" i="19"/>
  <c r="C2" i="19"/>
  <c r="I72" i="3"/>
  <c r="I74" i="3" s="1"/>
  <c r="H72" i="3"/>
  <c r="AB68" i="3"/>
  <c r="AB69" i="3"/>
  <c r="AB70" i="3"/>
  <c r="AB71" i="3"/>
  <c r="AB67" i="3"/>
  <c r="AB65" i="3"/>
  <c r="I64" i="3"/>
  <c r="H64" i="3"/>
  <c r="AB61" i="3"/>
  <c r="AB62" i="3"/>
  <c r="AB60" i="3"/>
  <c r="AB57" i="3"/>
  <c r="AB58" i="3"/>
  <c r="AB56" i="3"/>
  <c r="AB52" i="3"/>
  <c r="AB49" i="3"/>
  <c r="AB50" i="3"/>
  <c r="AB48" i="3"/>
  <c r="AB45" i="3"/>
  <c r="AB46" i="3"/>
  <c r="AB44" i="3"/>
  <c r="AB41" i="3"/>
  <c r="AB42" i="3"/>
  <c r="AB40" i="3"/>
  <c r="AB37" i="3"/>
  <c r="AB38" i="3"/>
  <c r="AB36" i="3"/>
  <c r="AB32" i="3"/>
  <c r="AB33" i="3"/>
  <c r="AB34" i="3"/>
  <c r="AB31" i="3"/>
  <c r="AB29" i="3"/>
  <c r="AB28" i="3"/>
  <c r="AB26" i="3"/>
  <c r="AB24" i="3"/>
  <c r="AB22" i="3"/>
  <c r="AB15" i="3"/>
  <c r="AB16" i="3"/>
  <c r="AB17" i="3"/>
  <c r="AB18" i="3"/>
  <c r="AB19" i="3"/>
  <c r="AB20" i="3"/>
  <c r="AB14" i="3"/>
  <c r="AB11" i="3"/>
  <c r="P99" i="20"/>
  <c r="AB64" i="3" l="1"/>
  <c r="AB66" i="3" s="1"/>
  <c r="H74" i="3"/>
  <c r="I73" i="3"/>
  <c r="I75" i="3" s="1"/>
  <c r="I76" i="3" s="1"/>
  <c r="I77" i="3" s="1"/>
  <c r="I78" i="3" s="1"/>
  <c r="H73" i="3"/>
  <c r="H75" i="3" s="1"/>
  <c r="H76" i="3" l="1"/>
  <c r="H77" i="3"/>
  <c r="H78" i="3" l="1"/>
  <c r="H79" i="3"/>
  <c r="J115" i="19" l="1"/>
  <c r="J116" i="19"/>
  <c r="J117" i="19"/>
  <c r="J118" i="19"/>
  <c r="J119" i="19"/>
  <c r="J120" i="19"/>
  <c r="J121" i="19"/>
  <c r="J98" i="19"/>
  <c r="J99" i="19"/>
  <c r="J100" i="19"/>
  <c r="J101" i="19"/>
  <c r="J102" i="19"/>
  <c r="J103" i="19"/>
  <c r="J104" i="19"/>
  <c r="J105" i="19"/>
  <c r="J106" i="19"/>
  <c r="J59" i="19"/>
  <c r="J60" i="19"/>
  <c r="J61" i="19"/>
  <c r="J62" i="19"/>
  <c r="J63" i="19"/>
  <c r="J48" i="19"/>
  <c r="J49" i="19"/>
  <c r="J50" i="19"/>
  <c r="J114" i="19"/>
  <c r="J79" i="19"/>
  <c r="J78" i="19"/>
  <c r="J77" i="19"/>
  <c r="J76" i="19"/>
  <c r="J75" i="19"/>
  <c r="J74" i="19"/>
  <c r="J73" i="19"/>
  <c r="J72" i="19"/>
  <c r="J71" i="19"/>
  <c r="J70" i="19"/>
  <c r="J69" i="19"/>
  <c r="J68" i="19"/>
  <c r="J67" i="19"/>
  <c r="J66" i="19"/>
  <c r="J65" i="19"/>
  <c r="J64" i="19"/>
  <c r="J58" i="19"/>
  <c r="P992" i="20"/>
  <c r="P991" i="20"/>
  <c r="P990" i="20"/>
  <c r="P989" i="20"/>
  <c r="P988" i="20"/>
  <c r="P987" i="20"/>
  <c r="P986" i="20"/>
  <c r="P985" i="20"/>
  <c r="E981" i="20"/>
  <c r="P976" i="20"/>
  <c r="P975" i="20"/>
  <c r="P974" i="20"/>
  <c r="P973" i="20"/>
  <c r="P972" i="20"/>
  <c r="P971" i="20"/>
  <c r="P970" i="20"/>
  <c r="P969" i="20"/>
  <c r="P968" i="20"/>
  <c r="P967" i="20"/>
  <c r="P966" i="20"/>
  <c r="P965" i="20"/>
  <c r="E961" i="20"/>
  <c r="P956" i="20"/>
  <c r="P955" i="20"/>
  <c r="P954" i="20"/>
  <c r="P953" i="20"/>
  <c r="P952" i="20"/>
  <c r="P951" i="20"/>
  <c r="P950" i="20"/>
  <c r="P949" i="20"/>
  <c r="P948" i="20"/>
  <c r="P947" i="20"/>
  <c r="P946" i="20"/>
  <c r="P945" i="20"/>
  <c r="P944" i="20"/>
  <c r="P943" i="20"/>
  <c r="P942" i="20"/>
  <c r="P941" i="20"/>
  <c r="P940" i="20"/>
  <c r="P939" i="20"/>
  <c r="M938" i="20"/>
  <c r="P938" i="20" s="1"/>
  <c r="P937" i="20"/>
  <c r="P936" i="20"/>
  <c r="P935" i="20"/>
  <c r="P934" i="20"/>
  <c r="P933" i="20"/>
  <c r="P932" i="20"/>
  <c r="P931" i="20"/>
  <c r="E927" i="20"/>
  <c r="P920" i="20"/>
  <c r="P919" i="20"/>
  <c r="P918" i="20"/>
  <c r="P917" i="20"/>
  <c r="P916" i="20"/>
  <c r="P915" i="20"/>
  <c r="P914" i="20"/>
  <c r="P913" i="20"/>
  <c r="P912" i="20"/>
  <c r="P911" i="20"/>
  <c r="P910" i="20"/>
  <c r="P909" i="20"/>
  <c r="P908" i="20"/>
  <c r="P907" i="20"/>
  <c r="P906" i="20"/>
  <c r="E902" i="20"/>
  <c r="P897" i="20"/>
  <c r="P896" i="20"/>
  <c r="P895" i="20"/>
  <c r="P894" i="20"/>
  <c r="P893" i="20"/>
  <c r="P892" i="20"/>
  <c r="P891" i="20"/>
  <c r="P890" i="20"/>
  <c r="M889" i="20"/>
  <c r="P889" i="20" s="1"/>
  <c r="P888" i="20"/>
  <c r="P887" i="20"/>
  <c r="P886" i="20"/>
  <c r="P885" i="20"/>
  <c r="P884" i="20"/>
  <c r="P883" i="20"/>
  <c r="P882" i="20"/>
  <c r="P881" i="20"/>
  <c r="P880" i="20"/>
  <c r="P879" i="20"/>
  <c r="P878" i="20"/>
  <c r="P877" i="20"/>
  <c r="P876" i="20"/>
  <c r="E872" i="20"/>
  <c r="P867" i="20"/>
  <c r="M866" i="20"/>
  <c r="P866" i="20" s="1"/>
  <c r="P865" i="20"/>
  <c r="P864" i="20"/>
  <c r="P863" i="20"/>
  <c r="P862" i="20"/>
  <c r="P861" i="20"/>
  <c r="P860" i="20"/>
  <c r="P859" i="20"/>
  <c r="E855" i="20"/>
  <c r="P848" i="20"/>
  <c r="M847" i="20"/>
  <c r="P847" i="20" s="1"/>
  <c r="M846" i="20"/>
  <c r="P846" i="20" s="1"/>
  <c r="P845" i="20"/>
  <c r="P844" i="20"/>
  <c r="P843" i="20"/>
  <c r="E839" i="20"/>
  <c r="P832" i="20"/>
  <c r="P831" i="20"/>
  <c r="P830" i="20"/>
  <c r="P829" i="20"/>
  <c r="P828" i="20"/>
  <c r="P827" i="20"/>
  <c r="P826" i="20"/>
  <c r="P825" i="20"/>
  <c r="P824" i="20"/>
  <c r="P823" i="20"/>
  <c r="P822" i="20"/>
  <c r="P821" i="20"/>
  <c r="E817" i="20"/>
  <c r="P812" i="20"/>
  <c r="P811" i="20"/>
  <c r="P810" i="20"/>
  <c r="P809" i="20"/>
  <c r="P808" i="20"/>
  <c r="P807" i="20"/>
  <c r="P806" i="20"/>
  <c r="E802" i="20"/>
  <c r="P797" i="20"/>
  <c r="P796" i="20"/>
  <c r="P795" i="20"/>
  <c r="P794" i="20"/>
  <c r="P793" i="20"/>
  <c r="P792" i="20"/>
  <c r="P791" i="20"/>
  <c r="P790" i="20"/>
  <c r="P789" i="20"/>
  <c r="P788" i="20"/>
  <c r="P787" i="20"/>
  <c r="P786" i="20"/>
  <c r="P785" i="20"/>
  <c r="E781" i="20"/>
  <c r="P774" i="20"/>
  <c r="P773" i="20"/>
  <c r="P772" i="20"/>
  <c r="P771" i="20"/>
  <c r="P770" i="20"/>
  <c r="P769" i="20"/>
  <c r="P768" i="20"/>
  <c r="P767" i="20"/>
  <c r="P766" i="20"/>
  <c r="P765" i="20"/>
  <c r="E761" i="20"/>
  <c r="P756" i="20"/>
  <c r="P755" i="20"/>
  <c r="P754" i="20"/>
  <c r="P753" i="20"/>
  <c r="P752" i="20"/>
  <c r="P751" i="20"/>
  <c r="P750" i="20"/>
  <c r="P749" i="20"/>
  <c r="E745" i="20"/>
  <c r="P740" i="20"/>
  <c r="P739" i="20"/>
  <c r="P738" i="20"/>
  <c r="P737" i="20"/>
  <c r="P736" i="20"/>
  <c r="E732" i="20"/>
  <c r="P727" i="20"/>
  <c r="P726" i="20"/>
  <c r="P725" i="20"/>
  <c r="P724" i="20"/>
  <c r="P723" i="20"/>
  <c r="P722" i="20"/>
  <c r="P721" i="20"/>
  <c r="P720" i="20"/>
  <c r="P719" i="20"/>
  <c r="P718" i="20"/>
  <c r="P717" i="20"/>
  <c r="P716" i="20"/>
  <c r="P714" i="20"/>
  <c r="P713" i="20"/>
  <c r="P712" i="20"/>
  <c r="P711" i="20"/>
  <c r="P710" i="20"/>
  <c r="P709" i="20"/>
  <c r="M708" i="20"/>
  <c r="P708" i="20" s="1"/>
  <c r="P707" i="20"/>
  <c r="P706" i="20"/>
  <c r="P705" i="20"/>
  <c r="P704" i="20"/>
  <c r="P703" i="20"/>
  <c r="P702" i="20"/>
  <c r="P701" i="20"/>
  <c r="P699" i="20"/>
  <c r="E695" i="20"/>
  <c r="P691" i="20"/>
  <c r="P686" i="20"/>
  <c r="P685" i="20"/>
  <c r="P684" i="20"/>
  <c r="P683" i="20"/>
  <c r="M680" i="20"/>
  <c r="P680" i="20" s="1"/>
  <c r="P679" i="20"/>
  <c r="P678" i="20"/>
  <c r="P677" i="20"/>
  <c r="P676" i="20"/>
  <c r="E672" i="20"/>
  <c r="P667" i="20"/>
  <c r="P666" i="20"/>
  <c r="P665" i="20"/>
  <c r="P664" i="20"/>
  <c r="P663" i="20"/>
  <c r="P662" i="20"/>
  <c r="P661" i="20"/>
  <c r="P660" i="20"/>
  <c r="P659" i="20"/>
  <c r="P658" i="20"/>
  <c r="M657" i="20"/>
  <c r="P657" i="20" s="1"/>
  <c r="M656" i="20"/>
  <c r="P656" i="20" s="1"/>
  <c r="P655" i="20"/>
  <c r="P654" i="20"/>
  <c r="P653" i="20"/>
  <c r="P652" i="20"/>
  <c r="M651" i="20"/>
  <c r="P651" i="20" s="1"/>
  <c r="P650" i="20"/>
  <c r="P649" i="20"/>
  <c r="P648" i="20"/>
  <c r="P647" i="20"/>
  <c r="P646" i="20"/>
  <c r="P645" i="20"/>
  <c r="E641" i="20"/>
  <c r="P636" i="20"/>
  <c r="P635" i="20"/>
  <c r="M634" i="20"/>
  <c r="P634" i="20" s="1"/>
  <c r="P633" i="20"/>
  <c r="P632" i="20"/>
  <c r="P631" i="20"/>
  <c r="M629" i="20"/>
  <c r="P629" i="20" s="1"/>
  <c r="P628" i="20"/>
  <c r="P627" i="20"/>
  <c r="M626" i="20"/>
  <c r="P626" i="20" s="1"/>
  <c r="P624" i="20"/>
  <c r="M623" i="20"/>
  <c r="M621" i="20"/>
  <c r="P620" i="20"/>
  <c r="P619" i="20"/>
  <c r="P618" i="20"/>
  <c r="E614" i="20"/>
  <c r="P607" i="20"/>
  <c r="P606" i="20"/>
  <c r="P604" i="20"/>
  <c r="P603" i="20"/>
  <c r="P602" i="20"/>
  <c r="M601" i="20"/>
  <c r="P601" i="20" s="1"/>
  <c r="P600" i="20"/>
  <c r="P599" i="20"/>
  <c r="M598" i="20"/>
  <c r="P598" i="20" s="1"/>
  <c r="M597" i="20"/>
  <c r="P597" i="20" s="1"/>
  <c r="P596" i="20"/>
  <c r="P595" i="20"/>
  <c r="P594" i="20"/>
  <c r="P593" i="20"/>
  <c r="P592" i="20"/>
  <c r="P591" i="20"/>
  <c r="E587" i="20"/>
  <c r="P582" i="20"/>
  <c r="P581" i="20"/>
  <c r="P580" i="20"/>
  <c r="P579" i="20"/>
  <c r="P578" i="20"/>
  <c r="P577" i="20"/>
  <c r="P576" i="20"/>
  <c r="P575" i="20"/>
  <c r="P574" i="20"/>
  <c r="E570" i="20"/>
  <c r="P565" i="20"/>
  <c r="P564" i="20"/>
  <c r="P562" i="20"/>
  <c r="M561" i="20"/>
  <c r="M563" i="20" s="1"/>
  <c r="P560" i="20"/>
  <c r="P559" i="20"/>
  <c r="P558" i="20"/>
  <c r="P557" i="20"/>
  <c r="P556" i="20"/>
  <c r="P555" i="20"/>
  <c r="P554" i="20"/>
  <c r="P553" i="20"/>
  <c r="P552" i="20"/>
  <c r="P551" i="20"/>
  <c r="E547" i="20"/>
  <c r="P540" i="20"/>
  <c r="M539" i="20"/>
  <c r="P539" i="20" s="1"/>
  <c r="P538" i="20"/>
  <c r="M535" i="20"/>
  <c r="P535" i="20" s="1"/>
  <c r="P534" i="20"/>
  <c r="P533" i="20"/>
  <c r="P532" i="20"/>
  <c r="P531" i="20"/>
  <c r="M529" i="20"/>
  <c r="P529" i="20" s="1"/>
  <c r="M528" i="20"/>
  <c r="P528" i="20" s="1"/>
  <c r="M527" i="20"/>
  <c r="P527" i="20" s="1"/>
  <c r="P526" i="20"/>
  <c r="P525" i="20"/>
  <c r="P524" i="20"/>
  <c r="P523" i="20"/>
  <c r="E519" i="20"/>
  <c r="P514" i="20"/>
  <c r="P513" i="20"/>
  <c r="P512" i="20"/>
  <c r="M511" i="20"/>
  <c r="M510" i="20"/>
  <c r="P510" i="20" s="1"/>
  <c r="P509" i="20"/>
  <c r="P508" i="20"/>
  <c r="M507" i="20"/>
  <c r="P507" i="20" s="1"/>
  <c r="P506" i="20"/>
  <c r="P505" i="20"/>
  <c r="P504" i="20"/>
  <c r="P503" i="20"/>
  <c r="P502" i="20"/>
  <c r="P501" i="20"/>
  <c r="P500" i="20"/>
  <c r="P499" i="20"/>
  <c r="P498" i="20"/>
  <c r="P497" i="20"/>
  <c r="E493" i="20"/>
  <c r="P488" i="20"/>
  <c r="P487" i="20"/>
  <c r="P486" i="20"/>
  <c r="P485" i="20"/>
  <c r="P484" i="20"/>
  <c r="P483" i="20"/>
  <c r="P482" i="20"/>
  <c r="P481" i="20"/>
  <c r="E477" i="20"/>
  <c r="P472" i="20"/>
  <c r="P471" i="20"/>
  <c r="M469" i="20"/>
  <c r="P469" i="20" s="1"/>
  <c r="P468" i="20"/>
  <c r="P467" i="20"/>
  <c r="P466" i="20"/>
  <c r="E462" i="20"/>
  <c r="P458" i="20"/>
  <c r="P457" i="20"/>
  <c r="P456" i="20"/>
  <c r="P455" i="20"/>
  <c r="P454" i="20"/>
  <c r="P453" i="20"/>
  <c r="P452" i="20"/>
  <c r="P451" i="20"/>
  <c r="P450" i="20"/>
  <c r="P449" i="20"/>
  <c r="P447" i="20"/>
  <c r="P446" i="20"/>
  <c r="M445" i="20"/>
  <c r="P445" i="20" s="1"/>
  <c r="P444" i="20"/>
  <c r="P443" i="20"/>
  <c r="P442" i="20"/>
  <c r="E438" i="20"/>
  <c r="P433" i="20"/>
  <c r="P432" i="20"/>
  <c r="P431" i="20"/>
  <c r="P430" i="20"/>
  <c r="P429" i="20"/>
  <c r="P428" i="20"/>
  <c r="P427" i="20"/>
  <c r="P426" i="20"/>
  <c r="P425" i="20"/>
  <c r="E421" i="20"/>
  <c r="P414" i="20"/>
  <c r="P413" i="20"/>
  <c r="P412" i="20"/>
  <c r="P411" i="20"/>
  <c r="M410" i="20"/>
  <c r="P410" i="20" s="1"/>
  <c r="P409" i="20"/>
  <c r="P408" i="20"/>
  <c r="P407" i="20"/>
  <c r="P406" i="20"/>
  <c r="P405" i="20"/>
  <c r="P404" i="20"/>
  <c r="P403" i="20"/>
  <c r="P402" i="20"/>
  <c r="O401" i="20"/>
  <c r="P398" i="20"/>
  <c r="O397" i="20"/>
  <c r="M400" i="20"/>
  <c r="P400" i="20" s="1"/>
  <c r="P395" i="20"/>
  <c r="M399" i="20"/>
  <c r="P399" i="20" s="1"/>
  <c r="P393" i="20"/>
  <c r="P392" i="20"/>
  <c r="P391" i="20"/>
  <c r="P390" i="20"/>
  <c r="E386" i="20"/>
  <c r="P379" i="20"/>
  <c r="P378" i="20"/>
  <c r="P377" i="20"/>
  <c r="P376" i="20"/>
  <c r="M374" i="20"/>
  <c r="P374" i="20" s="1"/>
  <c r="P373" i="20"/>
  <c r="P372" i="20"/>
  <c r="P371" i="20"/>
  <c r="P370" i="20"/>
  <c r="P369" i="20"/>
  <c r="P368" i="20"/>
  <c r="P367" i="20"/>
  <c r="M366" i="20"/>
  <c r="P366" i="20" s="1"/>
  <c r="M365" i="20"/>
  <c r="P365" i="20" s="1"/>
  <c r="M364" i="20"/>
  <c r="P364" i="20" s="1"/>
  <c r="M363" i="20"/>
  <c r="P363" i="20" s="1"/>
  <c r="P362" i="20"/>
  <c r="P361" i="20"/>
  <c r="M360" i="20"/>
  <c r="M536" i="20" s="1"/>
  <c r="P536" i="20" s="1"/>
  <c r="P359" i="20"/>
  <c r="P358" i="20"/>
  <c r="P357" i="20"/>
  <c r="P356" i="20"/>
  <c r="P355" i="20"/>
  <c r="P354" i="20"/>
  <c r="P353" i="20"/>
  <c r="E349" i="20"/>
  <c r="P342" i="20"/>
  <c r="P341" i="20"/>
  <c r="P339" i="20"/>
  <c r="P337" i="20"/>
  <c r="P336" i="20"/>
  <c r="P335" i="20"/>
  <c r="M338" i="20"/>
  <c r="P338" i="20" s="1"/>
  <c r="P333" i="20"/>
  <c r="P332" i="20"/>
  <c r="P331" i="20"/>
  <c r="O330" i="20"/>
  <c r="P330" i="20" s="1"/>
  <c r="O329" i="20"/>
  <c r="P329" i="20" s="1"/>
  <c r="O328" i="20"/>
  <c r="P328" i="20" s="1"/>
  <c r="P327" i="20"/>
  <c r="P326" i="20"/>
  <c r="M325" i="20"/>
  <c r="P325" i="20" s="1"/>
  <c r="O324" i="20"/>
  <c r="P324" i="20" s="1"/>
  <c r="O323" i="20"/>
  <c r="M323" i="20"/>
  <c r="O322" i="20"/>
  <c r="P321" i="20"/>
  <c r="P320" i="20"/>
  <c r="P319" i="20"/>
  <c r="P318" i="20"/>
  <c r="P317" i="20"/>
  <c r="M316" i="20"/>
  <c r="P316" i="20" s="1"/>
  <c r="P315" i="20"/>
  <c r="P314" i="20"/>
  <c r="M312" i="20"/>
  <c r="P312" i="20" s="1"/>
  <c r="M311" i="20"/>
  <c r="P311" i="20" s="1"/>
  <c r="P310" i="20"/>
  <c r="P309" i="20"/>
  <c r="M308" i="20"/>
  <c r="P308" i="20" s="1"/>
  <c r="M307" i="20"/>
  <c r="P307" i="20" s="1"/>
  <c r="P306" i="20"/>
  <c r="P305" i="20"/>
  <c r="P304" i="20"/>
  <c r="P303" i="20"/>
  <c r="P302" i="20"/>
  <c r="M301" i="20"/>
  <c r="P301" i="20" s="1"/>
  <c r="M300" i="20"/>
  <c r="P300" i="20" s="1"/>
  <c r="P299" i="20"/>
  <c r="P298" i="20"/>
  <c r="H298" i="20"/>
  <c r="P297" i="20"/>
  <c r="P296" i="20"/>
  <c r="H296" i="20"/>
  <c r="P295" i="20"/>
  <c r="H295" i="20"/>
  <c r="P294" i="20"/>
  <c r="H294" i="20"/>
  <c r="P293" i="20"/>
  <c r="H293" i="20"/>
  <c r="P292" i="20"/>
  <c r="H292" i="20"/>
  <c r="P291" i="20"/>
  <c r="P290" i="20"/>
  <c r="P289" i="20"/>
  <c r="P288" i="20"/>
  <c r="E284" i="20"/>
  <c r="P277" i="20"/>
  <c r="P276" i="20"/>
  <c r="P275" i="20"/>
  <c r="P274" i="20"/>
  <c r="P272" i="20"/>
  <c r="P271" i="20"/>
  <c r="P270" i="20"/>
  <c r="P269" i="20"/>
  <c r="P268" i="20"/>
  <c r="P266" i="20"/>
  <c r="P265" i="20"/>
  <c r="P264" i="20"/>
  <c r="P263" i="20"/>
  <c r="P262" i="20"/>
  <c r="P261" i="20"/>
  <c r="P260" i="20"/>
  <c r="P259" i="20"/>
  <c r="P258" i="20"/>
  <c r="P257" i="20"/>
  <c r="E254" i="20"/>
  <c r="P250" i="20"/>
  <c r="P249" i="20"/>
  <c r="P248" i="20"/>
  <c r="P247" i="20"/>
  <c r="P246" i="20"/>
  <c r="P245" i="20"/>
  <c r="P244" i="20"/>
  <c r="P243" i="20"/>
  <c r="P242" i="20"/>
  <c r="E239" i="20"/>
  <c r="P235" i="20"/>
  <c r="P234" i="20"/>
  <c r="P233" i="20"/>
  <c r="P232" i="20"/>
  <c r="P231" i="20"/>
  <c r="P230" i="20"/>
  <c r="M229" i="20"/>
  <c r="P229" i="20" s="1"/>
  <c r="P228" i="20"/>
  <c r="P227" i="20"/>
  <c r="P226" i="20"/>
  <c r="E223" i="20"/>
  <c r="P219" i="20"/>
  <c r="P218" i="20"/>
  <c r="P216" i="20"/>
  <c r="P215" i="20"/>
  <c r="P214" i="20"/>
  <c r="P213" i="20"/>
  <c r="P212" i="20"/>
  <c r="M211" i="20"/>
  <c r="M217" i="20" s="1"/>
  <c r="P217" i="20" s="1"/>
  <c r="P210" i="20"/>
  <c r="P209" i="20"/>
  <c r="P208" i="20"/>
  <c r="E205" i="20"/>
  <c r="P201" i="20"/>
  <c r="P200" i="20"/>
  <c r="P199" i="20"/>
  <c r="P198" i="20"/>
  <c r="P194" i="20"/>
  <c r="P193" i="20"/>
  <c r="P192" i="20"/>
  <c r="P191" i="20"/>
  <c r="P190" i="20"/>
  <c r="P189" i="20"/>
  <c r="P188" i="20"/>
  <c r="P187" i="20"/>
  <c r="P186" i="20"/>
  <c r="P185" i="20"/>
  <c r="P184" i="20"/>
  <c r="P183" i="20"/>
  <c r="P182" i="20"/>
  <c r="P181" i="20"/>
  <c r="P180" i="20"/>
  <c r="P179" i="20"/>
  <c r="P178" i="20"/>
  <c r="P177" i="20"/>
  <c r="P176" i="20"/>
  <c r="P175" i="20"/>
  <c r="P174" i="20"/>
  <c r="P173" i="20"/>
  <c r="P172" i="20"/>
  <c r="P171" i="20"/>
  <c r="P170" i="20"/>
  <c r="P169" i="20"/>
  <c r="P168" i="20"/>
  <c r="P167" i="20"/>
  <c r="P166" i="20"/>
  <c r="P165" i="20"/>
  <c r="P164" i="20"/>
  <c r="P163" i="20"/>
  <c r="P162" i="20"/>
  <c r="P161" i="20"/>
  <c r="P160" i="20"/>
  <c r="P159" i="20"/>
  <c r="P158" i="20"/>
  <c r="P157" i="20"/>
  <c r="P156" i="20"/>
  <c r="P155" i="20"/>
  <c r="P154" i="20"/>
  <c r="P153" i="20"/>
  <c r="P152" i="20"/>
  <c r="P151" i="20"/>
  <c r="P150" i="20"/>
  <c r="P149" i="20"/>
  <c r="P148" i="20"/>
  <c r="P147" i="20"/>
  <c r="P146" i="20"/>
  <c r="P145" i="20"/>
  <c r="P144" i="20"/>
  <c r="P143" i="20"/>
  <c r="P142" i="20"/>
  <c r="P141" i="20"/>
  <c r="P140" i="20"/>
  <c r="P139" i="20"/>
  <c r="P138" i="20"/>
  <c r="P137" i="20"/>
  <c r="M136" i="20"/>
  <c r="M195" i="20" s="1"/>
  <c r="P195" i="20" s="1"/>
  <c r="P135" i="20"/>
  <c r="P134" i="20"/>
  <c r="P133" i="20"/>
  <c r="P132" i="20"/>
  <c r="P131" i="20"/>
  <c r="P130" i="20"/>
  <c r="P129" i="20"/>
  <c r="E126" i="20"/>
  <c r="P122" i="20"/>
  <c r="P121" i="20"/>
  <c r="P120" i="20"/>
  <c r="P118" i="20"/>
  <c r="P117" i="20"/>
  <c r="P116" i="20"/>
  <c r="E113" i="20"/>
  <c r="P109" i="20"/>
  <c r="P108" i="20"/>
  <c r="P107" i="20"/>
  <c r="P106" i="20"/>
  <c r="P105" i="20"/>
  <c r="P104" i="20"/>
  <c r="P102" i="20"/>
  <c r="P101" i="20"/>
  <c r="P100" i="20"/>
  <c r="P95" i="20"/>
  <c r="P93" i="20"/>
  <c r="P92" i="20"/>
  <c r="P91" i="20"/>
  <c r="P85" i="20"/>
  <c r="P90" i="20"/>
  <c r="P83" i="20"/>
  <c r="P88" i="20"/>
  <c r="P87" i="20"/>
  <c r="P80" i="20"/>
  <c r="P79" i="20"/>
  <c r="P78" i="20"/>
  <c r="P77" i="20"/>
  <c r="P75" i="20"/>
  <c r="P74" i="20"/>
  <c r="P72" i="20"/>
  <c r="P71" i="20"/>
  <c r="P70" i="20"/>
  <c r="J70" i="20"/>
  <c r="P69" i="20"/>
  <c r="P68" i="20"/>
  <c r="P67" i="20"/>
  <c r="P66" i="20"/>
  <c r="P65" i="20"/>
  <c r="P64" i="20"/>
  <c r="P63" i="20"/>
  <c r="P62" i="20"/>
  <c r="P61" i="20"/>
  <c r="P60" i="20"/>
  <c r="P59" i="20"/>
  <c r="P58" i="20"/>
  <c r="P57" i="20"/>
  <c r="P56" i="20"/>
  <c r="P55" i="20"/>
  <c r="P54" i="20"/>
  <c r="P53" i="20"/>
  <c r="P52" i="20"/>
  <c r="P51" i="20"/>
  <c r="P50" i="20"/>
  <c r="P49" i="20"/>
  <c r="P48" i="20"/>
  <c r="E45" i="20"/>
  <c r="P40" i="20"/>
  <c r="P39" i="20"/>
  <c r="P38" i="20"/>
  <c r="P37" i="20"/>
  <c r="P36" i="20"/>
  <c r="P35" i="20"/>
  <c r="P34" i="20"/>
  <c r="P33" i="20"/>
  <c r="P32" i="20"/>
  <c r="P31" i="20"/>
  <c r="P30" i="20"/>
  <c r="P29" i="20"/>
  <c r="P28" i="20"/>
  <c r="P27" i="20"/>
  <c r="P26" i="20"/>
  <c r="P25" i="20"/>
  <c r="P23" i="20"/>
  <c r="P22" i="20"/>
  <c r="P21" i="20"/>
  <c r="P20" i="20"/>
  <c r="P19" i="20"/>
  <c r="O18" i="20"/>
  <c r="P18" i="20" s="1"/>
  <c r="P17" i="20"/>
  <c r="P16" i="20"/>
  <c r="P15" i="20"/>
  <c r="P14" i="20"/>
  <c r="E11" i="20"/>
  <c r="P322" i="20" l="1"/>
  <c r="M537" i="20"/>
  <c r="P537" i="20" s="1"/>
  <c r="M375" i="20"/>
  <c r="P375" i="20" s="1"/>
  <c r="M605" i="20"/>
  <c r="P605" i="20" s="1"/>
  <c r="P609" i="20" s="1"/>
  <c r="P103" i="20"/>
  <c r="P323" i="20"/>
  <c r="M340" i="20"/>
  <c r="P340" i="20" s="1"/>
  <c r="P799" i="20"/>
  <c r="P584" i="20"/>
  <c r="P978" i="20"/>
  <c r="P758" i="20"/>
  <c r="P922" i="20"/>
  <c r="M313" i="20"/>
  <c r="P313" i="20" s="1"/>
  <c r="P621" i="20"/>
  <c r="M682" i="20"/>
  <c r="P682" i="20" s="1"/>
  <c r="P623" i="20"/>
  <c r="P73" i="20"/>
  <c r="P334" i="20"/>
  <c r="P396" i="20"/>
  <c r="P89" i="20"/>
  <c r="M448" i="20"/>
  <c r="P448" i="20" s="1"/>
  <c r="P460" i="20" s="1"/>
  <c r="P86" i="20"/>
  <c r="P630" i="20"/>
  <c r="P435" i="20"/>
  <c r="P669" i="20"/>
  <c r="P237" i="20"/>
  <c r="P82" i="20"/>
  <c r="P81" i="20"/>
  <c r="M622" i="20"/>
  <c r="P622" i="20" s="1"/>
  <c r="P511" i="20"/>
  <c r="P516" i="20" s="1"/>
  <c r="M196" i="20"/>
  <c r="P490" i="20"/>
  <c r="P136" i="20"/>
  <c r="P899" i="20"/>
  <c r="P814" i="20"/>
  <c r="P742" i="20"/>
  <c r="M625" i="20"/>
  <c r="P625" i="20" s="1"/>
  <c r="M715" i="20"/>
  <c r="P715" i="20" s="1"/>
  <c r="P729" i="20" s="1"/>
  <c r="P563" i="20"/>
  <c r="M397" i="20"/>
  <c r="P394" i="20"/>
  <c r="P834" i="20"/>
  <c r="M530" i="20"/>
  <c r="P530" i="20" s="1"/>
  <c r="P561" i="20"/>
  <c r="P211" i="20"/>
  <c r="M470" i="20"/>
  <c r="P470" i="20" s="1"/>
  <c r="P474" i="20" s="1"/>
  <c r="M681" i="20"/>
  <c r="P681" i="20" s="1"/>
  <c r="P360" i="20"/>
  <c r="P252" i="20"/>
  <c r="P869" i="20"/>
  <c r="P84" i="20"/>
  <c r="P850" i="20"/>
  <c r="P776" i="20"/>
  <c r="P958" i="20"/>
  <c r="P994" i="20"/>
  <c r="P344" i="20" l="1"/>
  <c r="P24" i="20"/>
  <c r="P42" i="20" s="1"/>
  <c r="P567" i="20"/>
  <c r="P638" i="20"/>
  <c r="M401" i="20"/>
  <c r="P401" i="20" s="1"/>
  <c r="P397" i="20"/>
  <c r="M197" i="20"/>
  <c r="P197" i="20" s="1"/>
  <c r="P196" i="20"/>
  <c r="P688" i="20"/>
  <c r="P221" i="20"/>
  <c r="P542" i="20"/>
  <c r="P381" i="20"/>
  <c r="M273" i="20"/>
  <c r="P273" i="20" s="1"/>
  <c r="P267" i="20"/>
  <c r="P416" i="20" l="1"/>
  <c r="P279" i="20"/>
  <c r="P203" i="20"/>
  <c r="E96" i="19"/>
  <c r="E95" i="19"/>
  <c r="E94" i="19"/>
  <c r="F94" i="19" s="1"/>
  <c r="E93" i="19"/>
  <c r="E91" i="19"/>
  <c r="F91" i="19" s="1"/>
  <c r="E90" i="19"/>
  <c r="F90" i="19" s="1"/>
  <c r="E89" i="19"/>
  <c r="F89" i="19" s="1"/>
  <c r="J88" i="19"/>
  <c r="E87" i="19"/>
  <c r="F87" i="19" s="1"/>
  <c r="E86" i="19"/>
  <c r="I77" i="19"/>
  <c r="J42" i="19"/>
  <c r="J41" i="19"/>
  <c r="J40" i="19"/>
  <c r="J38" i="19"/>
  <c r="J34" i="19"/>
  <c r="J32" i="19"/>
  <c r="K472" i="6"/>
  <c r="N472" i="6" s="1"/>
  <c r="K504" i="6"/>
  <c r="K502" i="6" s="1"/>
  <c r="N475" i="6"/>
  <c r="N474" i="6"/>
  <c r="N473" i="6"/>
  <c r="N478" i="6"/>
  <c r="N477" i="6"/>
  <c r="N438" i="6"/>
  <c r="N437" i="6"/>
  <c r="N443" i="6"/>
  <c r="N442" i="6"/>
  <c r="N441" i="6"/>
  <c r="N440" i="6"/>
  <c r="N439" i="6"/>
  <c r="N446" i="6"/>
  <c r="N445" i="6"/>
  <c r="K407" i="6"/>
  <c r="K408" i="6" s="1"/>
  <c r="H376" i="6"/>
  <c r="I376" i="6" s="1"/>
  <c r="K379" i="6" s="1"/>
  <c r="H377" i="6"/>
  <c r="K381" i="6" s="1"/>
  <c r="H347" i="6"/>
  <c r="I347" i="6" s="1"/>
  <c r="H348" i="6"/>
  <c r="K352" i="6" s="1"/>
  <c r="N113" i="6"/>
  <c r="K321" i="6"/>
  <c r="K292" i="6"/>
  <c r="N106" i="6"/>
  <c r="N111" i="6"/>
  <c r="N110" i="6"/>
  <c r="N109" i="6"/>
  <c r="N108" i="6"/>
  <c r="N107" i="6"/>
  <c r="K48" i="6"/>
  <c r="K49" i="6" s="1"/>
  <c r="K45" i="6"/>
  <c r="K46" i="6" s="1"/>
  <c r="M77" i="6"/>
  <c r="K476" i="6" l="1"/>
  <c r="N476" i="6" s="1"/>
  <c r="F86" i="19"/>
  <c r="J86" i="19" s="1"/>
  <c r="F93" i="19"/>
  <c r="J93" i="19" s="1"/>
  <c r="F95" i="19"/>
  <c r="J95" i="19" s="1"/>
  <c r="F96" i="19"/>
  <c r="J96" i="19" s="1"/>
  <c r="J46" i="19"/>
  <c r="J37" i="19"/>
  <c r="J94" i="19"/>
  <c r="J90" i="19"/>
  <c r="J47" i="19"/>
  <c r="J87" i="19"/>
  <c r="J45" i="19"/>
  <c r="J91" i="19"/>
  <c r="J43" i="19"/>
  <c r="J33" i="19"/>
  <c r="J89" i="19"/>
  <c r="J35" i="19"/>
  <c r="J36" i="19"/>
  <c r="J39" i="19"/>
  <c r="J44" i="19"/>
  <c r="J92" i="19"/>
  <c r="P119" i="20"/>
  <c r="P76" i="20"/>
  <c r="J124" i="19"/>
  <c r="J16" i="19" s="1"/>
  <c r="E97" i="19"/>
  <c r="J80" i="19"/>
  <c r="J14" i="19" s="1"/>
  <c r="N444" i="6"/>
  <c r="K378" i="6"/>
  <c r="N378" i="6" s="1"/>
  <c r="K348" i="6"/>
  <c r="K377" i="6"/>
  <c r="N377" i="6" s="1"/>
  <c r="N198" i="6"/>
  <c r="N197" i="6"/>
  <c r="N202" i="6"/>
  <c r="N201" i="6"/>
  <c r="N200" i="6"/>
  <c r="N199" i="6"/>
  <c r="N234" i="6"/>
  <c r="N233" i="6"/>
  <c r="N231" i="6"/>
  <c r="N230" i="6"/>
  <c r="N169" i="6"/>
  <c r="N137" i="6"/>
  <c r="N105" i="6"/>
  <c r="N78" i="6"/>
  <c r="N79" i="6"/>
  <c r="N77" i="6"/>
  <c r="N51" i="6"/>
  <c r="N49" i="6"/>
  <c r="N48" i="6"/>
  <c r="N47" i="6"/>
  <c r="N168" i="6"/>
  <c r="M652" i="6"/>
  <c r="N652" i="6" s="1"/>
  <c r="N563" i="6"/>
  <c r="N566" i="6"/>
  <c r="N565" i="6"/>
  <c r="N564" i="6"/>
  <c r="N562" i="6"/>
  <c r="N380" i="6"/>
  <c r="N381" i="6"/>
  <c r="N414" i="6"/>
  <c r="N413" i="6"/>
  <c r="N412" i="6"/>
  <c r="N411" i="6"/>
  <c r="N407" i="6"/>
  <c r="N451" i="6"/>
  <c r="N409" i="6"/>
  <c r="N406" i="6"/>
  <c r="N410" i="6"/>
  <c r="N408" i="6"/>
  <c r="E1278" i="6"/>
  <c r="D1278" i="6"/>
  <c r="K1308" i="6"/>
  <c r="K1306" i="6"/>
  <c r="K1305" i="6"/>
  <c r="N1303" i="6"/>
  <c r="K1302" i="6"/>
  <c r="K1300" i="6"/>
  <c r="N1300" i="6" s="1"/>
  <c r="K1299" i="6"/>
  <c r="N1299" i="6" s="1"/>
  <c r="N1295" i="6"/>
  <c r="N1283" i="6"/>
  <c r="N1286" i="6"/>
  <c r="N1285" i="6"/>
  <c r="N1284" i="6"/>
  <c r="N1282" i="6"/>
  <c r="N1289" i="6"/>
  <c r="N1280" i="6"/>
  <c r="N1290" i="6"/>
  <c r="N1281" i="6"/>
  <c r="N1186" i="6"/>
  <c r="N1187" i="6"/>
  <c r="N1188" i="6"/>
  <c r="N1189" i="6"/>
  <c r="N1070" i="6"/>
  <c r="N561" i="6"/>
  <c r="N946" i="6"/>
  <c r="N950" i="6"/>
  <c r="N949" i="6"/>
  <c r="N948" i="6"/>
  <c r="N1252" i="6"/>
  <c r="N1247" i="6"/>
  <c r="N1246" i="6"/>
  <c r="N1254" i="6"/>
  <c r="N1253" i="6"/>
  <c r="N1251" i="6"/>
  <c r="N1245" i="6"/>
  <c r="N1244" i="6"/>
  <c r="N1157" i="6"/>
  <c r="N1037" i="6"/>
  <c r="N1044" i="6"/>
  <c r="N1043" i="6"/>
  <c r="N1045" i="6"/>
  <c r="N1041" i="6"/>
  <c r="N1040" i="6"/>
  <c r="N1036" i="6"/>
  <c r="N1035" i="6"/>
  <c r="N976" i="6"/>
  <c r="N975" i="6"/>
  <c r="N1243" i="6"/>
  <c r="N1248" i="6"/>
  <c r="N1249" i="6"/>
  <c r="N1250" i="6"/>
  <c r="N1255" i="6"/>
  <c r="N1256" i="6"/>
  <c r="N1257" i="6"/>
  <c r="N1258" i="6"/>
  <c r="K1263" i="6"/>
  <c r="N1263" i="6" s="1"/>
  <c r="AG24" i="3"/>
  <c r="J7" i="3"/>
  <c r="J12" i="3" s="1"/>
  <c r="K1265" i="6"/>
  <c r="N1266" i="6"/>
  <c r="K1268" i="6"/>
  <c r="K1269" i="6"/>
  <c r="K1271" i="6"/>
  <c r="N1214" i="6"/>
  <c r="N1215" i="6"/>
  <c r="N1216" i="6"/>
  <c r="N1217" i="6"/>
  <c r="N1218" i="6"/>
  <c r="N1219" i="6"/>
  <c r="N1220" i="6"/>
  <c r="N1221" i="6"/>
  <c r="K1225" i="6"/>
  <c r="N1225" i="6" s="1"/>
  <c r="K1226" i="6"/>
  <c r="N1226" i="6" s="1"/>
  <c r="K1228" i="6"/>
  <c r="N1229" i="6"/>
  <c r="K1231" i="6"/>
  <c r="K1232" i="6"/>
  <c r="K1234" i="6"/>
  <c r="N1185" i="6"/>
  <c r="N1190" i="6"/>
  <c r="N1191" i="6"/>
  <c r="N1192" i="6"/>
  <c r="K1196" i="6"/>
  <c r="N1196" i="6" s="1"/>
  <c r="K1197" i="6"/>
  <c r="N1197" i="6" s="1"/>
  <c r="K1199" i="6"/>
  <c r="N1200" i="6"/>
  <c r="K1202" i="6"/>
  <c r="K1203" i="6"/>
  <c r="K1205" i="6"/>
  <c r="N1156" i="6"/>
  <c r="N1158" i="6"/>
  <c r="N1159" i="6"/>
  <c r="N1160" i="6"/>
  <c r="N1161" i="6"/>
  <c r="N1162" i="6"/>
  <c r="N1163" i="6"/>
  <c r="K1167" i="6"/>
  <c r="N1167" i="6" s="1"/>
  <c r="K1168" i="6"/>
  <c r="N1168" i="6" s="1"/>
  <c r="K1170" i="6"/>
  <c r="N1171" i="6"/>
  <c r="K1173" i="6"/>
  <c r="K1174" i="6"/>
  <c r="K1176" i="6"/>
  <c r="N1127" i="6"/>
  <c r="N1128" i="6"/>
  <c r="N1129" i="6"/>
  <c r="N1130" i="6"/>
  <c r="N1131" i="6"/>
  <c r="N1132" i="6"/>
  <c r="N1133" i="6"/>
  <c r="N1134" i="6"/>
  <c r="K1138" i="6"/>
  <c r="N1138" i="6" s="1"/>
  <c r="K1139" i="6"/>
  <c r="N1139" i="6" s="1"/>
  <c r="K1141" i="6"/>
  <c r="N1142" i="6"/>
  <c r="K1144" i="6"/>
  <c r="K1145" i="6"/>
  <c r="K1147" i="6"/>
  <c r="N1098" i="6"/>
  <c r="N1099" i="6"/>
  <c r="N1100" i="6"/>
  <c r="N1101" i="6"/>
  <c r="N1102" i="6"/>
  <c r="N1103" i="6"/>
  <c r="N1104" i="6"/>
  <c r="N1105" i="6"/>
  <c r="K1109" i="6"/>
  <c r="N1109" i="6" s="1"/>
  <c r="K1110" i="6"/>
  <c r="N1110" i="6" s="1"/>
  <c r="K1112" i="6"/>
  <c r="N1113" i="6"/>
  <c r="K1115" i="6"/>
  <c r="K1116" i="6"/>
  <c r="K1118" i="6"/>
  <c r="N1069" i="6"/>
  <c r="N1071" i="6"/>
  <c r="N1072" i="6"/>
  <c r="N1073" i="6"/>
  <c r="N1074" i="6"/>
  <c r="N1075" i="6"/>
  <c r="N1076" i="6"/>
  <c r="K1080" i="6"/>
  <c r="N1080" i="6" s="1"/>
  <c r="K1081" i="6"/>
  <c r="N1081" i="6" s="1"/>
  <c r="K1083" i="6"/>
  <c r="N1084" i="6"/>
  <c r="K1086" i="6"/>
  <c r="K1087" i="6"/>
  <c r="K1089" i="6"/>
  <c r="N1032" i="6"/>
  <c r="N1033" i="6"/>
  <c r="N1034" i="6"/>
  <c r="N1038" i="6"/>
  <c r="N1039" i="6"/>
  <c r="N1042" i="6"/>
  <c r="N1046" i="6"/>
  <c r="N1047" i="6"/>
  <c r="K1051" i="6"/>
  <c r="N1051" i="6" s="1"/>
  <c r="K1052" i="6"/>
  <c r="N1052" i="6" s="1"/>
  <c r="K1054" i="6"/>
  <c r="N1055" i="6"/>
  <c r="K1057" i="6"/>
  <c r="K1058" i="6"/>
  <c r="K1060" i="6"/>
  <c r="N1003" i="6"/>
  <c r="N1004" i="6"/>
  <c r="N1005" i="6"/>
  <c r="N1006" i="6"/>
  <c r="N1007" i="6"/>
  <c r="N1008" i="6"/>
  <c r="N1009" i="6"/>
  <c r="N1010" i="6"/>
  <c r="K1014" i="6"/>
  <c r="N1014" i="6" s="1"/>
  <c r="K1015" i="6"/>
  <c r="N1015" i="6" s="1"/>
  <c r="K1017" i="6"/>
  <c r="N1018" i="6"/>
  <c r="K1020" i="6"/>
  <c r="K1021" i="6"/>
  <c r="K1023" i="6"/>
  <c r="N974" i="6"/>
  <c r="N977" i="6"/>
  <c r="N978" i="6"/>
  <c r="N979" i="6"/>
  <c r="N973" i="6"/>
  <c r="N980" i="6"/>
  <c r="N981" i="6"/>
  <c r="K988" i="6"/>
  <c r="K985" i="6"/>
  <c r="N985" i="6" s="1"/>
  <c r="K986" i="6"/>
  <c r="N986" i="6" s="1"/>
  <c r="N989" i="6"/>
  <c r="K991" i="6"/>
  <c r="K992" i="6"/>
  <c r="K994" i="6"/>
  <c r="N942" i="6"/>
  <c r="N941" i="6"/>
  <c r="N940" i="6"/>
  <c r="N943" i="6"/>
  <c r="N944" i="6"/>
  <c r="N945" i="6"/>
  <c r="N947" i="6"/>
  <c r="N951" i="6"/>
  <c r="K958" i="6"/>
  <c r="K955" i="6"/>
  <c r="N955" i="6" s="1"/>
  <c r="K956" i="6"/>
  <c r="N956" i="6" s="1"/>
  <c r="N959" i="6"/>
  <c r="K961" i="6"/>
  <c r="K962" i="6"/>
  <c r="K964" i="6"/>
  <c r="N912" i="6"/>
  <c r="N913" i="6"/>
  <c r="N914" i="6"/>
  <c r="N911" i="6"/>
  <c r="N915" i="6"/>
  <c r="N916" i="6"/>
  <c r="N917" i="6"/>
  <c r="N918" i="6"/>
  <c r="K925" i="6"/>
  <c r="K922" i="6"/>
  <c r="N922" i="6" s="1"/>
  <c r="K923" i="6"/>
  <c r="N923" i="6" s="1"/>
  <c r="N926" i="6"/>
  <c r="K928" i="6"/>
  <c r="K929" i="6"/>
  <c r="K931" i="6"/>
  <c r="N882" i="6"/>
  <c r="N883" i="6"/>
  <c r="N884" i="6"/>
  <c r="N885" i="6"/>
  <c r="N886" i="6"/>
  <c r="N887" i="6"/>
  <c r="N888" i="6"/>
  <c r="N889" i="6"/>
  <c r="K893" i="6"/>
  <c r="N893" i="6" s="1"/>
  <c r="K894" i="6"/>
  <c r="N894" i="6" s="1"/>
  <c r="K896" i="6"/>
  <c r="N897" i="6"/>
  <c r="K899" i="6"/>
  <c r="K900" i="6"/>
  <c r="K902" i="6"/>
  <c r="E1241" i="6"/>
  <c r="D1241" i="6"/>
  <c r="E1212" i="6"/>
  <c r="D1212" i="6"/>
  <c r="E1183" i="6"/>
  <c r="D1183" i="6"/>
  <c r="E1154" i="6"/>
  <c r="D1154" i="6"/>
  <c r="E1125" i="6"/>
  <c r="D1125" i="6"/>
  <c r="E1096" i="6"/>
  <c r="D1096" i="6"/>
  <c r="E1067" i="6"/>
  <c r="D1067" i="6"/>
  <c r="E1030" i="6"/>
  <c r="D1030" i="6"/>
  <c r="E1001" i="6"/>
  <c r="D1001" i="6"/>
  <c r="E971" i="6"/>
  <c r="D971" i="6"/>
  <c r="D938" i="6"/>
  <c r="E938" i="6"/>
  <c r="E909" i="6"/>
  <c r="D909" i="6"/>
  <c r="N593" i="6"/>
  <c r="N594" i="6"/>
  <c r="N595" i="6"/>
  <c r="N596" i="6"/>
  <c r="N597" i="6"/>
  <c r="N598" i="6"/>
  <c r="N599" i="6"/>
  <c r="N600" i="6"/>
  <c r="N604" i="6"/>
  <c r="N605" i="6"/>
  <c r="K7" i="3"/>
  <c r="K12" i="3" s="1"/>
  <c r="L7" i="3"/>
  <c r="L12" i="3" s="1"/>
  <c r="M7" i="3"/>
  <c r="N7" i="3"/>
  <c r="N12" i="3" s="1"/>
  <c r="O7" i="3"/>
  <c r="O12" i="3" s="1"/>
  <c r="P7" i="3"/>
  <c r="P12" i="3" s="1"/>
  <c r="Q7" i="3"/>
  <c r="Q12" i="3" s="1"/>
  <c r="R7" i="3"/>
  <c r="R12" i="3" s="1"/>
  <c r="S7" i="3"/>
  <c r="S12" i="3" s="1"/>
  <c r="T7" i="3"/>
  <c r="T12" i="3" s="1"/>
  <c r="U7" i="3"/>
  <c r="U12" i="3" s="1"/>
  <c r="V7" i="3"/>
  <c r="V12" i="3" s="1"/>
  <c r="W7" i="3"/>
  <c r="W12" i="3" s="1"/>
  <c r="X7" i="3"/>
  <c r="X12" i="3" s="1"/>
  <c r="Y7" i="3"/>
  <c r="Y12" i="3" s="1"/>
  <c r="Z7" i="3"/>
  <c r="Z12" i="3" s="1"/>
  <c r="AA7" i="3"/>
  <c r="AA12" i="3" s="1"/>
  <c r="AG16" i="3"/>
  <c r="AG17" i="3"/>
  <c r="AE20" i="3"/>
  <c r="AG28" i="3"/>
  <c r="AE31" i="3"/>
  <c r="AG33" i="3"/>
  <c r="AG34" i="3"/>
  <c r="AE37" i="3"/>
  <c r="AG38" i="3"/>
  <c r="AE56" i="3"/>
  <c r="AG57" i="3"/>
  <c r="AG60" i="3"/>
  <c r="AE61" i="3"/>
  <c r="AE62" i="3"/>
  <c r="N608" i="6"/>
  <c r="N853" i="6"/>
  <c r="N854" i="6"/>
  <c r="N855" i="6"/>
  <c r="N856" i="6"/>
  <c r="N857" i="6"/>
  <c r="N858" i="6"/>
  <c r="N859" i="6"/>
  <c r="N860" i="6"/>
  <c r="K864" i="6"/>
  <c r="N864" i="6" s="1"/>
  <c r="K865" i="6"/>
  <c r="N865" i="6" s="1"/>
  <c r="K867" i="6"/>
  <c r="N868" i="6"/>
  <c r="K870" i="6"/>
  <c r="K871" i="6"/>
  <c r="K873" i="6"/>
  <c r="N501" i="6"/>
  <c r="N502" i="6"/>
  <c r="N503" i="6"/>
  <c r="N504" i="6"/>
  <c r="N505" i="6"/>
  <c r="N506" i="6"/>
  <c r="N507" i="6"/>
  <c r="N508" i="6"/>
  <c r="N512" i="6"/>
  <c r="N513" i="6"/>
  <c r="N516" i="6"/>
  <c r="N469" i="6"/>
  <c r="N470" i="6"/>
  <c r="N471" i="6"/>
  <c r="N479" i="6"/>
  <c r="N483" i="6"/>
  <c r="N484" i="6"/>
  <c r="N487" i="6"/>
  <c r="N436" i="6"/>
  <c r="N447" i="6"/>
  <c r="N452" i="6"/>
  <c r="N455" i="6"/>
  <c r="N376" i="6"/>
  <c r="N379" i="6"/>
  <c r="N382" i="6"/>
  <c r="N383" i="6"/>
  <c r="N387" i="6"/>
  <c r="N388" i="6"/>
  <c r="N391" i="6"/>
  <c r="N347" i="6"/>
  <c r="N348" i="6"/>
  <c r="N349" i="6"/>
  <c r="N350" i="6"/>
  <c r="N351" i="6"/>
  <c r="N352" i="6"/>
  <c r="N353" i="6"/>
  <c r="N354" i="6"/>
  <c r="N358" i="6"/>
  <c r="N359" i="6"/>
  <c r="N362" i="6"/>
  <c r="N318" i="6"/>
  <c r="N319" i="6"/>
  <c r="N320" i="6"/>
  <c r="N321" i="6"/>
  <c r="N322" i="6"/>
  <c r="N323" i="6"/>
  <c r="N324" i="6"/>
  <c r="N325" i="6"/>
  <c r="N329" i="6"/>
  <c r="N330" i="6"/>
  <c r="N333" i="6"/>
  <c r="N289" i="6"/>
  <c r="N290" i="6"/>
  <c r="N291" i="6"/>
  <c r="N292" i="6"/>
  <c r="N293" i="6"/>
  <c r="N294" i="6"/>
  <c r="N295" i="6"/>
  <c r="N296" i="6"/>
  <c r="N300" i="6"/>
  <c r="N301" i="6"/>
  <c r="N304" i="6"/>
  <c r="N260" i="6"/>
  <c r="N261" i="6"/>
  <c r="N262" i="6"/>
  <c r="N263" i="6"/>
  <c r="N264" i="6"/>
  <c r="N265" i="6"/>
  <c r="N266" i="6"/>
  <c r="N267" i="6"/>
  <c r="N271" i="6"/>
  <c r="N272" i="6"/>
  <c r="N275" i="6"/>
  <c r="N229" i="6"/>
  <c r="N232" i="6"/>
  <c r="N235" i="6"/>
  <c r="N236" i="6"/>
  <c r="N237" i="6"/>
  <c r="N238" i="6"/>
  <c r="N242" i="6"/>
  <c r="N243" i="6"/>
  <c r="N246" i="6"/>
  <c r="N165" i="6"/>
  <c r="N166" i="6"/>
  <c r="N170" i="6"/>
  <c r="N171" i="6"/>
  <c r="N172" i="6"/>
  <c r="N176" i="6"/>
  <c r="N177" i="6"/>
  <c r="N180" i="6"/>
  <c r="N76" i="6"/>
  <c r="N82" i="6"/>
  <c r="N86" i="6"/>
  <c r="N87" i="6"/>
  <c r="N90" i="6"/>
  <c r="N54" i="6"/>
  <c r="N58" i="6"/>
  <c r="N59" i="6"/>
  <c r="N62" i="6"/>
  <c r="N797" i="6"/>
  <c r="N796" i="6"/>
  <c r="E880" i="6"/>
  <c r="D880" i="6"/>
  <c r="E851" i="6"/>
  <c r="D851" i="6"/>
  <c r="E822" i="6"/>
  <c r="D822" i="6"/>
  <c r="E793" i="6"/>
  <c r="D793" i="6"/>
  <c r="K844" i="6"/>
  <c r="K842" i="6"/>
  <c r="K841" i="6"/>
  <c r="N839" i="6"/>
  <c r="K838" i="6"/>
  <c r="K836" i="6"/>
  <c r="N836" i="6" s="1"/>
  <c r="K835" i="6"/>
  <c r="N835" i="6" s="1"/>
  <c r="N831" i="6"/>
  <c r="N830" i="6"/>
  <c r="N829" i="6"/>
  <c r="N828" i="6"/>
  <c r="N827" i="6"/>
  <c r="N826" i="6"/>
  <c r="N825" i="6"/>
  <c r="N824" i="6"/>
  <c r="K815" i="6"/>
  <c r="K813" i="6"/>
  <c r="K812" i="6"/>
  <c r="N810" i="6"/>
  <c r="K809" i="6"/>
  <c r="K807" i="6"/>
  <c r="N807" i="6" s="1"/>
  <c r="K806" i="6"/>
  <c r="N806" i="6" s="1"/>
  <c r="N802" i="6"/>
  <c r="N801" i="6"/>
  <c r="N800" i="6"/>
  <c r="N799" i="6"/>
  <c r="N798" i="6"/>
  <c r="N795" i="6"/>
  <c r="E764" i="6"/>
  <c r="D764" i="6"/>
  <c r="E736" i="6"/>
  <c r="D736" i="6"/>
  <c r="E707" i="6"/>
  <c r="D707" i="6"/>
  <c r="K786" i="6"/>
  <c r="K784" i="6"/>
  <c r="K783" i="6"/>
  <c r="N781" i="6"/>
  <c r="K780" i="6"/>
  <c r="K778" i="6"/>
  <c r="N778" i="6" s="1"/>
  <c r="K777" i="6"/>
  <c r="N777" i="6" s="1"/>
  <c r="N773" i="6"/>
  <c r="N772" i="6"/>
  <c r="N771" i="6"/>
  <c r="N770" i="6"/>
  <c r="N769" i="6"/>
  <c r="N768" i="6"/>
  <c r="N767" i="6"/>
  <c r="N766" i="6"/>
  <c r="K757" i="6"/>
  <c r="K755" i="6"/>
  <c r="K754" i="6"/>
  <c r="N752" i="6"/>
  <c r="K751" i="6"/>
  <c r="K749" i="6"/>
  <c r="N749" i="6" s="1"/>
  <c r="K748" i="6"/>
  <c r="N748" i="6" s="1"/>
  <c r="N744" i="6"/>
  <c r="N743" i="6"/>
  <c r="N742" i="6"/>
  <c r="N741" i="6"/>
  <c r="N740" i="6"/>
  <c r="N739" i="6"/>
  <c r="N738" i="6"/>
  <c r="K729" i="6"/>
  <c r="K727" i="6"/>
  <c r="K726" i="6"/>
  <c r="N724" i="6"/>
  <c r="K723" i="6"/>
  <c r="K721" i="6"/>
  <c r="N721" i="6" s="1"/>
  <c r="K720" i="6"/>
  <c r="N720" i="6" s="1"/>
  <c r="N716" i="6"/>
  <c r="N715" i="6"/>
  <c r="N714" i="6"/>
  <c r="N713" i="6"/>
  <c r="N712" i="6"/>
  <c r="N711" i="6"/>
  <c r="N710" i="6"/>
  <c r="N709" i="6"/>
  <c r="E678" i="6"/>
  <c r="D678" i="6"/>
  <c r="E649" i="6"/>
  <c r="D649" i="6"/>
  <c r="K700" i="6"/>
  <c r="K698" i="6"/>
  <c r="K697" i="6"/>
  <c r="N695" i="6"/>
  <c r="K694" i="6"/>
  <c r="K692" i="6"/>
  <c r="N692" i="6" s="1"/>
  <c r="K691" i="6"/>
  <c r="N691" i="6" s="1"/>
  <c r="N687" i="6"/>
  <c r="N686" i="6"/>
  <c r="N685" i="6"/>
  <c r="N684" i="6"/>
  <c r="N683" i="6"/>
  <c r="N682" i="6"/>
  <c r="N681" i="6"/>
  <c r="N680" i="6"/>
  <c r="N666" i="6"/>
  <c r="N663" i="6"/>
  <c r="N662" i="6"/>
  <c r="N658" i="6"/>
  <c r="N657" i="6"/>
  <c r="N656" i="6"/>
  <c r="N655" i="6"/>
  <c r="N651" i="6"/>
  <c r="N654" i="6"/>
  <c r="N653" i="6"/>
  <c r="N104" i="6"/>
  <c r="N112" i="6"/>
  <c r="N114" i="6"/>
  <c r="N119" i="6"/>
  <c r="N122" i="6"/>
  <c r="N136" i="6"/>
  <c r="N138" i="6"/>
  <c r="N140" i="6"/>
  <c r="N141" i="6"/>
  <c r="N142" i="6"/>
  <c r="N143" i="6"/>
  <c r="N148" i="6"/>
  <c r="N151" i="6"/>
  <c r="N194" i="6"/>
  <c r="N195" i="6"/>
  <c r="N196" i="6"/>
  <c r="N203" i="6"/>
  <c r="N204" i="6"/>
  <c r="N205" i="6"/>
  <c r="N206" i="6"/>
  <c r="N207" i="6"/>
  <c r="N212" i="6"/>
  <c r="N215" i="6"/>
  <c r="N405" i="6"/>
  <c r="N419" i="6"/>
  <c r="N422" i="6"/>
  <c r="N530" i="6"/>
  <c r="N531" i="6"/>
  <c r="N533" i="6"/>
  <c r="N534" i="6"/>
  <c r="N535" i="6"/>
  <c r="N536" i="6"/>
  <c r="N537" i="6"/>
  <c r="N542" i="6"/>
  <c r="N545" i="6"/>
  <c r="N559" i="6"/>
  <c r="N560" i="6"/>
  <c r="N567" i="6"/>
  <c r="N568" i="6"/>
  <c r="N569" i="6"/>
  <c r="N570" i="6"/>
  <c r="N571" i="6"/>
  <c r="N576" i="6"/>
  <c r="N579" i="6"/>
  <c r="N622" i="6"/>
  <c r="N623" i="6"/>
  <c r="N624" i="6"/>
  <c r="N625" i="6"/>
  <c r="N626" i="6"/>
  <c r="N627" i="6"/>
  <c r="N628" i="6"/>
  <c r="N629" i="6"/>
  <c r="N634" i="6"/>
  <c r="N637" i="6"/>
  <c r="E258" i="6"/>
  <c r="D258" i="6"/>
  <c r="E620" i="6"/>
  <c r="D620" i="6"/>
  <c r="E591" i="6"/>
  <c r="D591" i="6"/>
  <c r="E557" i="6"/>
  <c r="D557" i="6"/>
  <c r="E528" i="6"/>
  <c r="D528" i="6"/>
  <c r="E499" i="6"/>
  <c r="D499" i="6"/>
  <c r="E467" i="6"/>
  <c r="D467" i="6"/>
  <c r="E434" i="6"/>
  <c r="D434" i="6"/>
  <c r="E403" i="6"/>
  <c r="D403" i="6"/>
  <c r="E374" i="6"/>
  <c r="D374" i="6"/>
  <c r="E345" i="6"/>
  <c r="D345" i="6"/>
  <c r="E316" i="6"/>
  <c r="D316" i="6"/>
  <c r="E287" i="6"/>
  <c r="D287" i="6"/>
  <c r="E227" i="6"/>
  <c r="D227" i="6"/>
  <c r="E192" i="6"/>
  <c r="D192" i="6"/>
  <c r="E163" i="6"/>
  <c r="D163" i="6"/>
  <c r="E134" i="6"/>
  <c r="D134" i="6"/>
  <c r="D102" i="6"/>
  <c r="E74" i="6"/>
  <c r="D74" i="6"/>
  <c r="E41" i="6"/>
  <c r="D41" i="6"/>
  <c r="AE15" i="3"/>
  <c r="AE19" i="3"/>
  <c r="AD67" i="3"/>
  <c r="AF67" i="3"/>
  <c r="AD68" i="3"/>
  <c r="AF68" i="3"/>
  <c r="N118" i="6"/>
  <c r="N147" i="6"/>
  <c r="N211" i="6"/>
  <c r="N418" i="6"/>
  <c r="N541" i="6"/>
  <c r="N575" i="6"/>
  <c r="N633" i="6"/>
  <c r="N532" i="6"/>
  <c r="N1288" i="6"/>
  <c r="N1287" i="6"/>
  <c r="N1291" i="6"/>
  <c r="N1292" i="6"/>
  <c r="N1293" i="6"/>
  <c r="N1294" i="6"/>
  <c r="M11" i="3" l="1"/>
  <c r="M64" i="3" s="1"/>
  <c r="M12" i="3"/>
  <c r="F97" i="19"/>
  <c r="J97" i="19" s="1"/>
  <c r="K1262" i="6"/>
  <c r="N1262" i="6" s="1"/>
  <c r="S11" i="3"/>
  <c r="S64" i="3" s="1"/>
  <c r="T22" i="3"/>
  <c r="T28" i="3"/>
  <c r="V38" i="3"/>
  <c r="V42" i="3"/>
  <c r="X50" i="3"/>
  <c r="T58" i="3"/>
  <c r="N15" i="3"/>
  <c r="T41" i="3"/>
  <c r="O44" i="3"/>
  <c r="T33" i="3"/>
  <c r="S14" i="3"/>
  <c r="T17" i="3"/>
  <c r="V22" i="3"/>
  <c r="U28" i="3"/>
  <c r="X42" i="3"/>
  <c r="X24" i="3"/>
  <c r="S22" i="3"/>
  <c r="U17" i="3"/>
  <c r="S17" i="3"/>
  <c r="V61" i="3"/>
  <c r="U26" i="3"/>
  <c r="U52" i="3"/>
  <c r="T15" i="3"/>
  <c r="T46" i="3"/>
  <c r="U20" i="3"/>
  <c r="V37" i="3"/>
  <c r="U46" i="3"/>
  <c r="X52" i="3"/>
  <c r="L28" i="3"/>
  <c r="X49" i="3"/>
  <c r="T37" i="3"/>
  <c r="X62" i="3"/>
  <c r="U16" i="3"/>
  <c r="T18" i="3"/>
  <c r="T31" i="3"/>
  <c r="T34" i="3"/>
  <c r="T60" i="3"/>
  <c r="W34" i="3"/>
  <c r="T57" i="3"/>
  <c r="U18" i="3"/>
  <c r="U31" i="3"/>
  <c r="U34" i="3"/>
  <c r="M56" i="3"/>
  <c r="U60" i="3"/>
  <c r="S28" i="3"/>
  <c r="T48" i="3"/>
  <c r="U61" i="3"/>
  <c r="U41" i="3"/>
  <c r="U42" i="3"/>
  <c r="N24" i="3"/>
  <c r="Y18" i="3"/>
  <c r="T29" i="3"/>
  <c r="V31" i="3"/>
  <c r="V34" i="3"/>
  <c r="T56" i="3"/>
  <c r="V60" i="3"/>
  <c r="M58" i="3"/>
  <c r="S32" i="3"/>
  <c r="X40" i="3"/>
  <c r="U29" i="3"/>
  <c r="Y31" i="3"/>
  <c r="U40" i="3"/>
  <c r="U56" i="3"/>
  <c r="M61" i="3"/>
  <c r="M36" i="3"/>
  <c r="W24" i="3"/>
  <c r="Y29" i="3"/>
  <c r="U32" i="3"/>
  <c r="N36" i="3"/>
  <c r="V44" i="3"/>
  <c r="U48" i="3"/>
  <c r="Z32" i="3"/>
  <c r="X45" i="3"/>
  <c r="S46" i="3"/>
  <c r="N22" i="3"/>
  <c r="V29" i="3"/>
  <c r="Z31" i="3"/>
  <c r="V40" i="3"/>
  <c r="T44" i="3"/>
  <c r="M48" i="3"/>
  <c r="V56" i="3"/>
  <c r="T61" i="3"/>
  <c r="S58" i="3"/>
  <c r="T32" i="3"/>
  <c r="U44" i="3"/>
  <c r="Z49" i="3"/>
  <c r="Y62" i="3"/>
  <c r="L16" i="3"/>
  <c r="P58" i="3"/>
  <c r="X29" i="3"/>
  <c r="V62" i="3"/>
  <c r="W50" i="3"/>
  <c r="U37" i="3"/>
  <c r="W37" i="3"/>
  <c r="U33" i="3"/>
  <c r="Y41" i="3"/>
  <c r="K50" i="3"/>
  <c r="V50" i="3"/>
  <c r="Q58" i="3"/>
  <c r="Z29" i="3"/>
  <c r="V32" i="3"/>
  <c r="T36" i="3"/>
  <c r="X44" i="3"/>
  <c r="T49" i="3"/>
  <c r="U57" i="3"/>
  <c r="W18" i="3"/>
  <c r="T14" i="3"/>
  <c r="U45" i="3"/>
  <c r="V41" i="3"/>
  <c r="M14" i="3"/>
  <c r="L26" i="3"/>
  <c r="X32" i="3"/>
  <c r="U36" i="3"/>
  <c r="Y44" i="3"/>
  <c r="U49" i="3"/>
  <c r="V57" i="3"/>
  <c r="T62" i="3"/>
  <c r="S16" i="3"/>
  <c r="T19" i="3"/>
  <c r="N26" i="3"/>
  <c r="Y32" i="3"/>
  <c r="V36" i="3"/>
  <c r="V49" i="3"/>
  <c r="T52" i="3"/>
  <c r="X57" i="3"/>
  <c r="U62" i="3"/>
  <c r="V45" i="3"/>
  <c r="S61" i="3"/>
  <c r="T20" i="3"/>
  <c r="W52" i="3"/>
  <c r="Y19" i="3"/>
  <c r="U58" i="3"/>
  <c r="Y49" i="3"/>
  <c r="V52" i="3"/>
  <c r="O37" i="3"/>
  <c r="N16" i="3"/>
  <c r="V33" i="3"/>
  <c r="Z41" i="3"/>
  <c r="Y46" i="3"/>
  <c r="L50" i="3"/>
  <c r="Y52" i="3"/>
  <c r="X58" i="3"/>
  <c r="P16" i="3"/>
  <c r="L22" i="3"/>
  <c r="T38" i="3"/>
  <c r="K42" i="3"/>
  <c r="U50" i="3"/>
  <c r="U38" i="3"/>
  <c r="X15" i="3"/>
  <c r="Y50" i="3"/>
  <c r="V58" i="3"/>
  <c r="R24" i="3"/>
  <c r="W11" i="3"/>
  <c r="W64" i="3" s="1"/>
  <c r="U14" i="3"/>
  <c r="Q14" i="3"/>
  <c r="U11" i="3"/>
  <c r="U64" i="3" s="1"/>
  <c r="L11" i="3"/>
  <c r="L64" i="3" s="1"/>
  <c r="N17" i="3"/>
  <c r="T11" i="3"/>
  <c r="T64" i="3" s="1"/>
  <c r="X11" i="3"/>
  <c r="X64" i="3" s="1"/>
  <c r="M40" i="3"/>
  <c r="AA60" i="3"/>
  <c r="V11" i="3"/>
  <c r="V64" i="3" s="1"/>
  <c r="Z24" i="3"/>
  <c r="R57" i="3"/>
  <c r="R22" i="3"/>
  <c r="R62" i="3"/>
  <c r="P22" i="3"/>
  <c r="R49" i="3"/>
  <c r="X46" i="3"/>
  <c r="R38" i="3"/>
  <c r="L36" i="3"/>
  <c r="L15" i="3"/>
  <c r="N11" i="3"/>
  <c r="N64" i="3" s="1"/>
  <c r="R56" i="3"/>
  <c r="V48" i="3"/>
  <c r="V46" i="3"/>
  <c r="L38" i="3"/>
  <c r="P36" i="3"/>
  <c r="R28" i="3"/>
  <c r="R11" i="3"/>
  <c r="R64" i="3" s="1"/>
  <c r="P56" i="3"/>
  <c r="P11" i="3"/>
  <c r="P64" i="3" s="1"/>
  <c r="R46" i="3"/>
  <c r="L61" i="3"/>
  <c r="L56" i="3"/>
  <c r="Y45" i="3"/>
  <c r="Y42" i="3"/>
  <c r="Y40" i="3"/>
  <c r="L14" i="3"/>
  <c r="R37" i="3"/>
  <c r="P20" i="3"/>
  <c r="R34" i="3"/>
  <c r="Q36" i="3"/>
  <c r="R44" i="3"/>
  <c r="R41" i="3"/>
  <c r="R15" i="3"/>
  <c r="R61" i="3"/>
  <c r="N61" i="3"/>
  <c r="N56" i="3"/>
  <c r="R31" i="3"/>
  <c r="N14" i="3"/>
  <c r="Z11" i="3"/>
  <c r="Z64" i="3" s="1"/>
  <c r="R48" i="3"/>
  <c r="Z40" i="3"/>
  <c r="N48" i="3"/>
  <c r="L48" i="3"/>
  <c r="Q37" i="3"/>
  <c r="N20" i="3"/>
  <c r="L17" i="3"/>
  <c r="R52" i="3"/>
  <c r="P37" i="3"/>
  <c r="N33" i="3"/>
  <c r="M20" i="3"/>
  <c r="R60" i="3"/>
  <c r="T50" i="3"/>
  <c r="T45" i="3"/>
  <c r="T42" i="3"/>
  <c r="T40" i="3"/>
  <c r="N37" i="3"/>
  <c r="M33" i="3"/>
  <c r="V26" i="3"/>
  <c r="L20" i="3"/>
  <c r="M60" i="3"/>
  <c r="R50" i="3"/>
  <c r="R45" i="3"/>
  <c r="R42" i="3"/>
  <c r="R40" i="3"/>
  <c r="M37" i="3"/>
  <c r="Y34" i="3"/>
  <c r="L33" i="3"/>
  <c r="P24" i="3"/>
  <c r="M24" i="3"/>
  <c r="Z62" i="3"/>
  <c r="L60" i="3"/>
  <c r="Y57" i="3"/>
  <c r="M50" i="3"/>
  <c r="Z44" i="3"/>
  <c r="L42" i="3"/>
  <c r="L37" i="3"/>
  <c r="X34" i="3"/>
  <c r="T26" i="3"/>
  <c r="Z19" i="3"/>
  <c r="T16" i="3"/>
  <c r="M28" i="3"/>
  <c r="X19" i="3"/>
  <c r="V19" i="3"/>
  <c r="X41" i="3"/>
  <c r="R36" i="3"/>
  <c r="X31" i="3"/>
  <c r="R29" i="3"/>
  <c r="U19" i="3"/>
  <c r="Z58" i="3"/>
  <c r="V15" i="3"/>
  <c r="U22" i="3"/>
  <c r="R19" i="3"/>
  <c r="U15" i="3"/>
  <c r="Y58" i="3"/>
  <c r="V16" i="3"/>
  <c r="M38" i="3"/>
  <c r="R33" i="3"/>
  <c r="R26" i="3"/>
  <c r="Z18" i="3"/>
  <c r="R16" i="3"/>
  <c r="M15" i="3"/>
  <c r="M22" i="3"/>
  <c r="R17" i="3"/>
  <c r="V24" i="3"/>
  <c r="M26" i="3"/>
  <c r="X18" i="3"/>
  <c r="M17" i="3"/>
  <c r="R32" i="3"/>
  <c r="V18" i="3"/>
  <c r="M16" i="3"/>
  <c r="U24" i="3"/>
  <c r="V14" i="3"/>
  <c r="T24" i="3"/>
  <c r="R20" i="3"/>
  <c r="R18" i="3"/>
  <c r="Q20" i="3"/>
  <c r="R14" i="3"/>
  <c r="V28" i="3"/>
  <c r="P14" i="3"/>
  <c r="R58" i="3"/>
  <c r="J53" i="19"/>
  <c r="J13" i="19" s="1"/>
  <c r="AA57" i="3"/>
  <c r="Q50" i="3"/>
  <c r="P26" i="3"/>
  <c r="P50" i="3"/>
  <c r="Z46" i="3"/>
  <c r="Q40" i="3"/>
  <c r="M42" i="3"/>
  <c r="Q41" i="3"/>
  <c r="P40" i="3"/>
  <c r="N29" i="3"/>
  <c r="N41" i="3"/>
  <c r="M32" i="3"/>
  <c r="M31" i="3"/>
  <c r="L29" i="3"/>
  <c r="Y28" i="3"/>
  <c r="Q19" i="3"/>
  <c r="Y17" i="3"/>
  <c r="Q11" i="3"/>
  <c r="Q64" i="3" s="1"/>
  <c r="W45" i="3"/>
  <c r="N62" i="3"/>
  <c r="X60" i="3"/>
  <c r="P49" i="3"/>
  <c r="Q44" i="3"/>
  <c r="M41" i="3"/>
  <c r="L40" i="3"/>
  <c r="X38" i="3"/>
  <c r="L32" i="3"/>
  <c r="L31" i="3"/>
  <c r="X28" i="3"/>
  <c r="P19" i="3"/>
  <c r="Q18" i="3"/>
  <c r="X17" i="3"/>
  <c r="Z14" i="3"/>
  <c r="O32" i="3"/>
  <c r="M62" i="3"/>
  <c r="Q57" i="3"/>
  <c r="N49" i="3"/>
  <c r="Q46" i="3"/>
  <c r="Q45" i="3"/>
  <c r="P44" i="3"/>
  <c r="L41" i="3"/>
  <c r="Q34" i="3"/>
  <c r="O19" i="3"/>
  <c r="P18" i="3"/>
  <c r="V17" i="3"/>
  <c r="Y14" i="3"/>
  <c r="O20" i="3"/>
  <c r="P42" i="3"/>
  <c r="W41" i="3"/>
  <c r="L62" i="3"/>
  <c r="P57" i="3"/>
  <c r="AA56" i="3"/>
  <c r="Q52" i="3"/>
  <c r="M49" i="3"/>
  <c r="P46" i="3"/>
  <c r="P45" i="3"/>
  <c r="N44" i="3"/>
  <c r="Z37" i="3"/>
  <c r="Z36" i="3"/>
  <c r="P34" i="3"/>
  <c r="Z20" i="3"/>
  <c r="N19" i="3"/>
  <c r="N18" i="3"/>
  <c r="X14" i="3"/>
  <c r="O34" i="3"/>
  <c r="Z34" i="3"/>
  <c r="N57" i="3"/>
  <c r="Z56" i="3"/>
  <c r="P52" i="3"/>
  <c r="L49" i="3"/>
  <c r="N46" i="3"/>
  <c r="N45" i="3"/>
  <c r="M44" i="3"/>
  <c r="Y37" i="3"/>
  <c r="Y36" i="3"/>
  <c r="N34" i="3"/>
  <c r="AA33" i="3"/>
  <c r="Z22" i="3"/>
  <c r="Y20" i="3"/>
  <c r="M19" i="3"/>
  <c r="M18" i="3"/>
  <c r="Z16" i="3"/>
  <c r="Q56" i="3"/>
  <c r="Q33" i="3"/>
  <c r="Q61" i="3"/>
  <c r="AA44" i="3"/>
  <c r="P33" i="3"/>
  <c r="Q15" i="3"/>
  <c r="J32" i="3"/>
  <c r="P48" i="3"/>
  <c r="AA18" i="3"/>
  <c r="J60" i="3"/>
  <c r="Z52" i="3"/>
  <c r="Q32" i="3"/>
  <c r="Q31" i="3"/>
  <c r="P29" i="3"/>
  <c r="Q62" i="3"/>
  <c r="P41" i="3"/>
  <c r="N40" i="3"/>
  <c r="N32" i="3"/>
  <c r="N31" i="3"/>
  <c r="M29" i="3"/>
  <c r="Z17" i="3"/>
  <c r="AA26" i="3"/>
  <c r="O62" i="3"/>
  <c r="Q49" i="3"/>
  <c r="J22" i="3"/>
  <c r="O46" i="3"/>
  <c r="O48" i="3"/>
  <c r="J29" i="3"/>
  <c r="M57" i="3"/>
  <c r="Y56" i="3"/>
  <c r="N52" i="3"/>
  <c r="M46" i="3"/>
  <c r="M45" i="3"/>
  <c r="L44" i="3"/>
  <c r="X37" i="3"/>
  <c r="X36" i="3"/>
  <c r="M34" i="3"/>
  <c r="Z33" i="3"/>
  <c r="Y22" i="3"/>
  <c r="X20" i="3"/>
  <c r="L19" i="3"/>
  <c r="L18" i="3"/>
  <c r="Y16" i="3"/>
  <c r="N58" i="3"/>
  <c r="AA61" i="3"/>
  <c r="Z61" i="3"/>
  <c r="Q60" i="3"/>
  <c r="L57" i="3"/>
  <c r="X56" i="3"/>
  <c r="M52" i="3"/>
  <c r="Z48" i="3"/>
  <c r="L46" i="3"/>
  <c r="L45" i="3"/>
  <c r="Q38" i="3"/>
  <c r="L34" i="3"/>
  <c r="Y33" i="3"/>
  <c r="Q28" i="3"/>
  <c r="Z26" i="3"/>
  <c r="X22" i="3"/>
  <c r="V20" i="3"/>
  <c r="Q17" i="3"/>
  <c r="X16" i="3"/>
  <c r="Z15" i="3"/>
  <c r="P61" i="3"/>
  <c r="Z45" i="3"/>
  <c r="Q42" i="3"/>
  <c r="N50" i="3"/>
  <c r="O56" i="3"/>
  <c r="O15" i="3"/>
  <c r="P62" i="3"/>
  <c r="Y61" i="3"/>
  <c r="P60" i="3"/>
  <c r="L52" i="3"/>
  <c r="Z50" i="3"/>
  <c r="Y48" i="3"/>
  <c r="P38" i="3"/>
  <c r="X33" i="3"/>
  <c r="P28" i="3"/>
  <c r="Y26" i="3"/>
  <c r="P17" i="3"/>
  <c r="Y15" i="3"/>
  <c r="P96" i="20"/>
  <c r="P98" i="20"/>
  <c r="P94" i="20"/>
  <c r="P97" i="20"/>
  <c r="J40" i="3"/>
  <c r="Q22" i="3"/>
  <c r="Q16" i="3"/>
  <c r="J37" i="3"/>
  <c r="Q48" i="3"/>
  <c r="Q26" i="3"/>
  <c r="P15" i="3"/>
  <c r="O18" i="3"/>
  <c r="Z57" i="3"/>
  <c r="J61" i="3"/>
  <c r="Q29" i="3"/>
  <c r="O26" i="3"/>
  <c r="N42" i="3"/>
  <c r="P32" i="3"/>
  <c r="P31" i="3"/>
  <c r="Z60" i="3"/>
  <c r="Z38" i="3"/>
  <c r="Z28" i="3"/>
  <c r="J15" i="3"/>
  <c r="Y60" i="3"/>
  <c r="Y38" i="3"/>
  <c r="W38" i="3"/>
  <c r="AA41" i="3"/>
  <c r="Y11" i="3"/>
  <c r="Y64" i="3" s="1"/>
  <c r="W16" i="3"/>
  <c r="Q24" i="3"/>
  <c r="L24" i="3"/>
  <c r="Y24" i="3"/>
  <c r="L58" i="3"/>
  <c r="X61" i="3"/>
  <c r="N60" i="3"/>
  <c r="X48" i="3"/>
  <c r="Z42" i="3"/>
  <c r="N38" i="3"/>
  <c r="N28" i="3"/>
  <c r="X26" i="3"/>
  <c r="P124" i="20"/>
  <c r="K62" i="3"/>
  <c r="K19" i="3"/>
  <c r="K29" i="3"/>
  <c r="K49" i="3"/>
  <c r="K61" i="3"/>
  <c r="K16" i="3"/>
  <c r="K20" i="3"/>
  <c r="K44" i="3"/>
  <c r="K52" i="3"/>
  <c r="K56" i="3"/>
  <c r="K57" i="3"/>
  <c r="K28" i="3"/>
  <c r="K48" i="3"/>
  <c r="K60" i="3"/>
  <c r="K58" i="3"/>
  <c r="K17" i="3"/>
  <c r="K32" i="3"/>
  <c r="K37" i="3"/>
  <c r="K40" i="3"/>
  <c r="K11" i="3"/>
  <c r="K64" i="3" s="1"/>
  <c r="K18" i="3"/>
  <c r="K31" i="3"/>
  <c r="K34" i="3"/>
  <c r="K36" i="3"/>
  <c r="K46" i="3"/>
  <c r="K24" i="3"/>
  <c r="K14" i="3"/>
  <c r="K15" i="3"/>
  <c r="K22" i="3"/>
  <c r="K33" i="3"/>
  <c r="K41" i="3"/>
  <c r="O41" i="3"/>
  <c r="O49" i="3"/>
  <c r="O60" i="3"/>
  <c r="O57" i="3"/>
  <c r="O29" i="3"/>
  <c r="O14" i="3"/>
  <c r="O36" i="3"/>
  <c r="O40" i="3"/>
  <c r="O28" i="3"/>
  <c r="O58" i="3"/>
  <c r="O52" i="3"/>
  <c r="O45" i="3"/>
  <c r="O16" i="3"/>
  <c r="O24" i="3"/>
  <c r="O50" i="3"/>
  <c r="O38" i="3"/>
  <c r="O11" i="3"/>
  <c r="O64" i="3" s="1"/>
  <c r="O42" i="3"/>
  <c r="O31" i="3"/>
  <c r="O22" i="3"/>
  <c r="O17" i="3"/>
  <c r="O33" i="3"/>
  <c r="O61" i="3"/>
  <c r="J19" i="3"/>
  <c r="J46" i="3"/>
  <c r="J17" i="3"/>
  <c r="J58" i="3"/>
  <c r="J57" i="3"/>
  <c r="J28" i="3"/>
  <c r="J52" i="3"/>
  <c r="J62" i="3"/>
  <c r="J18" i="3"/>
  <c r="J34" i="3"/>
  <c r="J44" i="3"/>
  <c r="J16" i="3"/>
  <c r="J48" i="3"/>
  <c r="J14" i="3"/>
  <c r="J56" i="3"/>
  <c r="J20" i="3"/>
  <c r="J11" i="3"/>
  <c r="J64" i="3" s="1"/>
  <c r="J26" i="3"/>
  <c r="J24" i="3"/>
  <c r="J36" i="3"/>
  <c r="J45" i="3"/>
  <c r="J50" i="3"/>
  <c r="J38" i="3"/>
  <c r="J42" i="3"/>
  <c r="J31" i="3"/>
  <c r="J41" i="3"/>
  <c r="J49" i="3"/>
  <c r="J33" i="3"/>
  <c r="S44" i="3"/>
  <c r="S56" i="3"/>
  <c r="S57" i="3"/>
  <c r="S41" i="3"/>
  <c r="S60" i="3"/>
  <c r="S38" i="3"/>
  <c r="S15" i="3"/>
  <c r="S49" i="3"/>
  <c r="S45" i="3"/>
  <c r="S37" i="3"/>
  <c r="S40" i="3"/>
  <c r="S50" i="3"/>
  <c r="S29" i="3"/>
  <c r="S20" i="3"/>
  <c r="S34" i="3"/>
  <c r="S52" i="3"/>
  <c r="S19" i="3"/>
  <c r="S48" i="3"/>
  <c r="S36" i="3"/>
  <c r="S24" i="3"/>
  <c r="S33" i="3"/>
  <c r="S18" i="3"/>
  <c r="S26" i="3"/>
  <c r="S62" i="3"/>
  <c r="S42" i="3"/>
  <c r="S31" i="3"/>
  <c r="K38" i="3"/>
  <c r="W49" i="3"/>
  <c r="W60" i="3"/>
  <c r="W57" i="3"/>
  <c r="W29" i="3"/>
  <c r="W14" i="3"/>
  <c r="W36" i="3"/>
  <c r="W40" i="3"/>
  <c r="W28" i="3"/>
  <c r="W62" i="3"/>
  <c r="W48" i="3"/>
  <c r="W32" i="3"/>
  <c r="W56" i="3"/>
  <c r="W20" i="3"/>
  <c r="W19" i="3"/>
  <c r="W58" i="3"/>
  <c r="W42" i="3"/>
  <c r="W31" i="3"/>
  <c r="W22" i="3"/>
  <c r="W17" i="3"/>
  <c r="W33" i="3"/>
  <c r="W61" i="3"/>
  <c r="W26" i="3"/>
  <c r="W44" i="3"/>
  <c r="W46" i="3"/>
  <c r="W15" i="3"/>
  <c r="AG41" i="3"/>
  <c r="K45" i="3"/>
  <c r="K26" i="3"/>
  <c r="AA38" i="3"/>
  <c r="AA15" i="3"/>
  <c r="AA49" i="3"/>
  <c r="AA45" i="3"/>
  <c r="AA37" i="3"/>
  <c r="AA40" i="3"/>
  <c r="AA50" i="3"/>
  <c r="AA29" i="3"/>
  <c r="AA20" i="3"/>
  <c r="AA34" i="3"/>
  <c r="AA52" i="3"/>
  <c r="AA19" i="3"/>
  <c r="AA36" i="3"/>
  <c r="AA46" i="3"/>
  <c r="AA14" i="3"/>
  <c r="AA58" i="3"/>
  <c r="AA11" i="3"/>
  <c r="AA64" i="3" s="1"/>
  <c r="AA24" i="3"/>
  <c r="AA42" i="3"/>
  <c r="AA31" i="3"/>
  <c r="AA28" i="3"/>
  <c r="AA22" i="3"/>
  <c r="AA17" i="3"/>
  <c r="AA32" i="3"/>
  <c r="AA16" i="3"/>
  <c r="AA48" i="3"/>
  <c r="AE18" i="3"/>
  <c r="AG18" i="3"/>
  <c r="AE28" i="3"/>
  <c r="N139" i="6"/>
  <c r="N144" i="6" s="1"/>
  <c r="N146" i="6" s="1"/>
  <c r="AE24" i="3"/>
  <c r="AG22" i="3"/>
  <c r="N601" i="6"/>
  <c r="N607" i="6" s="1"/>
  <c r="N1193" i="6"/>
  <c r="N1195" i="6" s="1"/>
  <c r="N167" i="6"/>
  <c r="N173" i="6" s="1"/>
  <c r="N175" i="6" s="1"/>
  <c r="N861" i="6"/>
  <c r="N867" i="6" s="1"/>
  <c r="N1164" i="6"/>
  <c r="N1166" i="6" s="1"/>
  <c r="N208" i="6"/>
  <c r="N214" i="6" s="1"/>
  <c r="N45" i="6"/>
  <c r="N43" i="6"/>
  <c r="N480" i="6"/>
  <c r="N486" i="6" s="1"/>
  <c r="N1222" i="6"/>
  <c r="N1224" i="6" s="1"/>
  <c r="N1259" i="6"/>
  <c r="N1261" i="6" s="1"/>
  <c r="AE45" i="3"/>
  <c r="AG45" i="3"/>
  <c r="AF29" i="3"/>
  <c r="AE22" i="3"/>
  <c r="AE16" i="3"/>
  <c r="AE50" i="3"/>
  <c r="AG40" i="3"/>
  <c r="AG52" i="3"/>
  <c r="AE52" i="3"/>
  <c r="AE40" i="3"/>
  <c r="AE46" i="3"/>
  <c r="N745" i="6"/>
  <c r="N747" i="6" s="1"/>
  <c r="N890" i="6"/>
  <c r="N892" i="6" s="1"/>
  <c r="N919" i="6"/>
  <c r="N925" i="6" s="1"/>
  <c r="N1011" i="6"/>
  <c r="N1017" i="6" s="1"/>
  <c r="N1077" i="6"/>
  <c r="N1079" i="6" s="1"/>
  <c r="N1106" i="6"/>
  <c r="N1112" i="6" s="1"/>
  <c r="N52" i="6"/>
  <c r="N630" i="6"/>
  <c r="N632" i="6" s="1"/>
  <c r="N46" i="6"/>
  <c r="N538" i="6"/>
  <c r="N544" i="6" s="1"/>
  <c r="N384" i="6"/>
  <c r="N386" i="6" s="1"/>
  <c r="N355" i="6"/>
  <c r="N357" i="6" s="1"/>
  <c r="N44" i="6"/>
  <c r="N572" i="6"/>
  <c r="N574" i="6" s="1"/>
  <c r="N659" i="6"/>
  <c r="N665" i="6" s="1"/>
  <c r="N982" i="6"/>
  <c r="N984" i="6" s="1"/>
  <c r="N1135" i="6"/>
  <c r="N1137" i="6" s="1"/>
  <c r="N50" i="6"/>
  <c r="N952" i="6"/>
  <c r="N954" i="6" s="1"/>
  <c r="N1048" i="6"/>
  <c r="N1050" i="6" s="1"/>
  <c r="N53" i="6"/>
  <c r="N774" i="6"/>
  <c r="N776" i="6" s="1"/>
  <c r="N509" i="6"/>
  <c r="N511" i="6" s="1"/>
  <c r="N717" i="6"/>
  <c r="N723" i="6" s="1"/>
  <c r="N832" i="6"/>
  <c r="N838" i="6" s="1"/>
  <c r="N803" i="6"/>
  <c r="N805" i="6" s="1"/>
  <c r="N688" i="6"/>
  <c r="N690" i="6" s="1"/>
  <c r="N415" i="6"/>
  <c r="N421" i="6" s="1"/>
  <c r="N326" i="6"/>
  <c r="N328" i="6" s="1"/>
  <c r="N268" i="6"/>
  <c r="N274" i="6" s="1"/>
  <c r="N297" i="6"/>
  <c r="N299" i="6" s="1"/>
  <c r="N1296" i="6"/>
  <c r="N1298" i="6" s="1"/>
  <c r="N239" i="6"/>
  <c r="N241" i="6" s="1"/>
  <c r="AE58" i="3"/>
  <c r="AG42" i="3"/>
  <c r="AE34" i="3"/>
  <c r="AE36" i="3"/>
  <c r="AE41" i="3"/>
  <c r="AG36" i="3"/>
  <c r="AE17" i="3"/>
  <c r="AE33" i="3"/>
  <c r="AE42" i="3"/>
  <c r="AE32" i="3"/>
  <c r="AG32" i="3"/>
  <c r="AG58" i="3"/>
  <c r="AG15" i="3"/>
  <c r="AG31" i="3"/>
  <c r="AE38" i="3"/>
  <c r="AF15" i="3"/>
  <c r="AG14" i="3"/>
  <c r="AE14" i="3"/>
  <c r="AF18" i="3"/>
  <c r="AF58" i="3"/>
  <c r="AF50" i="3"/>
  <c r="AE26" i="3"/>
  <c r="AF52" i="3"/>
  <c r="AD41" i="3"/>
  <c r="AE29" i="3"/>
  <c r="AD28" i="3"/>
  <c r="AD31" i="3"/>
  <c r="AE48" i="3"/>
  <c r="AF37" i="3"/>
  <c r="AD36" i="3"/>
  <c r="AE49" i="3"/>
  <c r="AE44" i="3"/>
  <c r="AF49" i="3"/>
  <c r="AE60" i="3"/>
  <c r="AF48" i="3"/>
  <c r="AD62" i="3"/>
  <c r="AD46" i="3"/>
  <c r="AG26" i="3"/>
  <c r="AD19" i="3"/>
  <c r="AF44" i="3"/>
  <c r="AE11" i="3"/>
  <c r="AE57" i="3"/>
  <c r="AG46" i="3"/>
  <c r="J109" i="19" l="1"/>
  <c r="J15" i="19" s="1"/>
  <c r="J18" i="19" s="1"/>
  <c r="R70" i="3"/>
  <c r="T70" i="3"/>
  <c r="U70" i="3"/>
  <c r="Y70" i="3"/>
  <c r="M70" i="3"/>
  <c r="Z70" i="3"/>
  <c r="X70" i="3"/>
  <c r="N70" i="3"/>
  <c r="P70" i="3"/>
  <c r="Q70" i="3"/>
  <c r="L70" i="3"/>
  <c r="P111" i="20"/>
  <c r="W70" i="3"/>
  <c r="K70" i="3"/>
  <c r="O70" i="3"/>
  <c r="V70" i="3"/>
  <c r="J70" i="3"/>
  <c r="S70" i="3"/>
  <c r="N448" i="6"/>
  <c r="N450" i="6" s="1"/>
  <c r="N115" i="6"/>
  <c r="N117" i="6" s="1"/>
  <c r="N1170" i="6"/>
  <c r="N863" i="6"/>
  <c r="N1199" i="6"/>
  <c r="N540" i="6"/>
  <c r="N515" i="6"/>
  <c r="N896" i="6"/>
  <c r="N603" i="6"/>
  <c r="AF69" i="3"/>
  <c r="N150" i="6"/>
  <c r="N834" i="6"/>
  <c r="N751" i="6"/>
  <c r="N417" i="6"/>
  <c r="N958" i="6"/>
  <c r="N210" i="6"/>
  <c r="N661" i="6"/>
  <c r="N636" i="6"/>
  <c r="N1083" i="6"/>
  <c r="N1228" i="6"/>
  <c r="N482" i="6"/>
  <c r="N390" i="6"/>
  <c r="N80" i="6"/>
  <c r="N81" i="6"/>
  <c r="N578" i="6"/>
  <c r="N921" i="6"/>
  <c r="N1265" i="6"/>
  <c r="N245" i="6"/>
  <c r="AD33" i="3"/>
  <c r="AD57" i="3"/>
  <c r="AF17" i="3"/>
  <c r="AD58" i="3"/>
  <c r="N780" i="6"/>
  <c r="N1108" i="6"/>
  <c r="N179" i="6"/>
  <c r="N1013" i="6"/>
  <c r="N1141" i="6"/>
  <c r="N988" i="6"/>
  <c r="N361" i="6"/>
  <c r="N809" i="6"/>
  <c r="N719" i="6"/>
  <c r="N1302" i="6"/>
  <c r="N1054" i="6"/>
  <c r="N55" i="6"/>
  <c r="N57" i="6" s="1"/>
  <c r="N303" i="6"/>
  <c r="N694" i="6"/>
  <c r="N270" i="6"/>
  <c r="N332" i="6"/>
  <c r="AG62" i="3"/>
  <c r="AG50" i="3"/>
  <c r="AD18" i="3"/>
  <c r="AG37" i="3"/>
  <c r="AG56" i="3"/>
  <c r="AD50" i="3"/>
  <c r="AD15" i="3"/>
  <c r="AD29" i="3"/>
  <c r="AF41" i="3"/>
  <c r="AG44" i="3"/>
  <c r="AD37" i="3"/>
  <c r="AD44" i="3"/>
  <c r="AF34" i="3"/>
  <c r="AD52" i="3"/>
  <c r="AG20" i="3"/>
  <c r="AD16" i="3"/>
  <c r="AF28" i="3"/>
  <c r="AG61" i="3"/>
  <c r="AF19" i="3"/>
  <c r="AG48" i="3"/>
  <c r="AF36" i="3"/>
  <c r="AG29" i="3"/>
  <c r="AF46" i="3"/>
  <c r="AF31" i="3"/>
  <c r="AF62" i="3"/>
  <c r="AD48" i="3"/>
  <c r="AF60" i="3"/>
  <c r="AD60" i="3"/>
  <c r="AF45" i="3"/>
  <c r="AD45" i="3"/>
  <c r="AG19" i="3"/>
  <c r="AG49" i="3"/>
  <c r="AD49" i="3"/>
  <c r="AA62" i="3"/>
  <c r="AD32" i="3"/>
  <c r="AF32" i="3"/>
  <c r="AG11" i="3"/>
  <c r="AF61" i="3"/>
  <c r="AD61" i="3"/>
  <c r="AD56" i="3"/>
  <c r="AF56" i="3"/>
  <c r="N454" i="6" l="1"/>
  <c r="N121" i="6"/>
  <c r="AF33" i="3"/>
  <c r="N83" i="6"/>
  <c r="AD17" i="3"/>
  <c r="AF57" i="3"/>
  <c r="N61" i="6"/>
  <c r="AF14" i="3"/>
  <c r="AD38" i="3"/>
  <c r="AF16" i="3"/>
  <c r="AD34" i="3"/>
  <c r="AF20" i="3"/>
  <c r="AA70" i="3"/>
  <c r="AD22" i="3"/>
  <c r="AF22" i="3"/>
  <c r="AF65" i="3" l="1"/>
  <c r="AD65" i="3"/>
  <c r="N85" i="6"/>
  <c r="N89" i="6"/>
  <c r="AF38" i="3"/>
  <c r="AD14" i="3"/>
  <c r="AD24" i="3"/>
  <c r="AF24" i="3"/>
  <c r="AF11" i="3"/>
  <c r="AD11" i="3"/>
  <c r="AD20" i="3"/>
  <c r="AD26" i="3" l="1"/>
  <c r="AF26" i="3"/>
  <c r="AD71" i="3" l="1"/>
  <c r="AF71" i="3"/>
  <c r="AD40" i="3"/>
  <c r="AF40" i="3" l="1"/>
  <c r="AD42" i="3" l="1"/>
  <c r="AF42" i="3"/>
  <c r="AF64" i="3" s="1"/>
  <c r="AF66" i="3" l="1"/>
  <c r="AF70" i="3"/>
  <c r="AD64" i="3"/>
  <c r="AF72" i="3" l="1"/>
  <c r="AD66" i="3"/>
  <c r="AD70" i="3"/>
  <c r="AD72" i="3" l="1"/>
  <c r="AF73" i="3"/>
  <c r="AF74" i="3"/>
  <c r="K722" i="6"/>
  <c r="N722" i="6" s="1"/>
  <c r="N725" i="6" s="1"/>
  <c r="N331" i="6"/>
  <c r="N334" i="6" s="1"/>
  <c r="N213" i="6"/>
  <c r="N216" i="6" s="1"/>
  <c r="N453" i="6"/>
  <c r="N456" i="6" s="1"/>
  <c r="N577" i="6"/>
  <c r="N580" i="6" s="1"/>
  <c r="N389" i="6"/>
  <c r="N392" i="6" s="1"/>
  <c r="N360" i="6"/>
  <c r="N363" i="6" s="1"/>
  <c r="N664" i="6"/>
  <c r="N667" i="6" s="1"/>
  <c r="N514" i="6"/>
  <c r="N517" i="6" s="1"/>
  <c r="K1301" i="6"/>
  <c r="N1301" i="6" s="1"/>
  <c r="N1304" i="6" s="1"/>
  <c r="N60" i="6"/>
  <c r="N63" i="6" s="1"/>
  <c r="N302" i="6"/>
  <c r="N305" i="6" s="1"/>
  <c r="K1082" i="6"/>
  <c r="N1082" i="6" s="1"/>
  <c r="N1085" i="6" s="1"/>
  <c r="K1198" i="6"/>
  <c r="N1198" i="6" s="1"/>
  <c r="N1201" i="6" s="1"/>
  <c r="K1169" i="6"/>
  <c r="N1169" i="6" s="1"/>
  <c r="N1172" i="6" s="1"/>
  <c r="N543" i="6"/>
  <c r="N546" i="6" s="1"/>
  <c r="N120" i="6"/>
  <c r="N123" i="6" s="1"/>
  <c r="K895" i="6"/>
  <c r="N895" i="6" s="1"/>
  <c r="N898" i="6" s="1"/>
  <c r="K779" i="6"/>
  <c r="N779" i="6" s="1"/>
  <c r="N782" i="6" s="1"/>
  <c r="K987" i="6"/>
  <c r="N987" i="6" s="1"/>
  <c r="N990" i="6" s="1"/>
  <c r="N606" i="6"/>
  <c r="N609" i="6" s="1"/>
  <c r="K693" i="6"/>
  <c r="N693" i="6" s="1"/>
  <c r="N696" i="6" s="1"/>
  <c r="N635" i="6"/>
  <c r="N638" i="6" s="1"/>
  <c r="K866" i="6"/>
  <c r="N866" i="6" s="1"/>
  <c r="N869" i="6" s="1"/>
  <c r="K1264" i="6"/>
  <c r="N1264" i="6" s="1"/>
  <c r="N1267" i="6" s="1"/>
  <c r="K808" i="6"/>
  <c r="N808" i="6" s="1"/>
  <c r="N811" i="6" s="1"/>
  <c r="N178" i="6"/>
  <c r="N181" i="6" s="1"/>
  <c r="N420" i="6"/>
  <c r="N423" i="6" s="1"/>
  <c r="K1053" i="6"/>
  <c r="N1053" i="6" s="1"/>
  <c r="N1056" i="6" s="1"/>
  <c r="K1140" i="6"/>
  <c r="N1140" i="6" s="1"/>
  <c r="N1143" i="6" s="1"/>
  <c r="N88" i="6"/>
  <c r="N91" i="6" s="1"/>
  <c r="N244" i="6"/>
  <c r="N247" i="6" s="1"/>
  <c r="N273" i="6"/>
  <c r="N276" i="6" s="1"/>
  <c r="K1016" i="6"/>
  <c r="N1016" i="6" s="1"/>
  <c r="N1019" i="6" s="1"/>
  <c r="K837" i="6"/>
  <c r="N837" i="6" s="1"/>
  <c r="N840" i="6" s="1"/>
  <c r="K924" i="6"/>
  <c r="N924" i="6" s="1"/>
  <c r="N927" i="6" s="1"/>
  <c r="N485" i="6"/>
  <c r="N488" i="6" s="1"/>
  <c r="K957" i="6"/>
  <c r="N957" i="6" s="1"/>
  <c r="N960" i="6" s="1"/>
  <c r="K750" i="6"/>
  <c r="N750" i="6" s="1"/>
  <c r="N753" i="6" s="1"/>
  <c r="N149" i="6"/>
  <c r="N152" i="6" s="1"/>
  <c r="K1227" i="6"/>
  <c r="N1227" i="6" s="1"/>
  <c r="N1230" i="6" s="1"/>
  <c r="K1111" i="6"/>
  <c r="N1111" i="6" s="1"/>
  <c r="N1114" i="6" s="1"/>
  <c r="AF75" i="3" l="1"/>
  <c r="AF76" i="3" s="1"/>
  <c r="N547" i="6"/>
  <c r="N548" i="6"/>
  <c r="N1144" i="6"/>
  <c r="N1145" i="6"/>
  <c r="N1086" i="6"/>
  <c r="N1087" i="6"/>
  <c r="N307" i="6"/>
  <c r="N306" i="6"/>
  <c r="N182" i="6"/>
  <c r="N183" i="6"/>
  <c r="N64" i="6"/>
  <c r="N65" i="6"/>
  <c r="N1116" i="6"/>
  <c r="N1115" i="6"/>
  <c r="N812" i="6"/>
  <c r="N813" i="6"/>
  <c r="N1305" i="6"/>
  <c r="N1306" i="6"/>
  <c r="N1232" i="6"/>
  <c r="N1231" i="6"/>
  <c r="N1269" i="6"/>
  <c r="N1268" i="6"/>
  <c r="N519" i="6"/>
  <c r="N518" i="6"/>
  <c r="AD74" i="3"/>
  <c r="AD73" i="3"/>
  <c r="N277" i="6"/>
  <c r="N278" i="6"/>
  <c r="N1173" i="6"/>
  <c r="N1174" i="6"/>
  <c r="N125" i="6"/>
  <c r="N124" i="6"/>
  <c r="N727" i="6"/>
  <c r="N726" i="6"/>
  <c r="N249" i="6"/>
  <c r="N248" i="6"/>
  <c r="N92" i="6"/>
  <c r="N93" i="6"/>
  <c r="N1203" i="6"/>
  <c r="N1202" i="6"/>
  <c r="N1058" i="6"/>
  <c r="N1057" i="6"/>
  <c r="N424" i="6"/>
  <c r="N425" i="6"/>
  <c r="N153" i="6"/>
  <c r="N154" i="6"/>
  <c r="N870" i="6"/>
  <c r="N871" i="6"/>
  <c r="N669" i="6"/>
  <c r="N668" i="6"/>
  <c r="N754" i="6"/>
  <c r="N755" i="6"/>
  <c r="N640" i="6"/>
  <c r="N639" i="6"/>
  <c r="N364" i="6"/>
  <c r="N365" i="6"/>
  <c r="N962" i="6"/>
  <c r="N961" i="6"/>
  <c r="N698" i="6"/>
  <c r="N697" i="6"/>
  <c r="N394" i="6"/>
  <c r="N393" i="6"/>
  <c r="N489" i="6"/>
  <c r="N490" i="6"/>
  <c r="N928" i="6"/>
  <c r="N929" i="6"/>
  <c r="N991" i="6"/>
  <c r="N992" i="6"/>
  <c r="N458" i="6"/>
  <c r="N457" i="6"/>
  <c r="N842" i="6"/>
  <c r="N841" i="6"/>
  <c r="N784" i="6"/>
  <c r="N783" i="6"/>
  <c r="N217" i="6"/>
  <c r="N218" i="6"/>
  <c r="N610" i="6"/>
  <c r="N611" i="6"/>
  <c r="N582" i="6"/>
  <c r="N581" i="6"/>
  <c r="N1020" i="6"/>
  <c r="N1021" i="6"/>
  <c r="N899" i="6"/>
  <c r="N900" i="6"/>
  <c r="N336" i="6"/>
  <c r="N335" i="6"/>
  <c r="AF77" i="3" l="1"/>
  <c r="N1204" i="6"/>
  <c r="N1205" i="6" s="1"/>
  <c r="N459" i="6"/>
  <c r="N460" i="6" s="1"/>
  <c r="N461" i="6" s="1"/>
  <c r="N94" i="6"/>
  <c r="N95" i="6" s="1"/>
  <c r="N96" i="6" s="1"/>
  <c r="N1022" i="6"/>
  <c r="N1023" i="6" s="1"/>
  <c r="N1024" i="6" s="1"/>
  <c r="N1233" i="6"/>
  <c r="N1234" i="6" s="1"/>
  <c r="N1235" i="6" s="1"/>
  <c r="N395" i="6"/>
  <c r="N396" i="6" s="1"/>
  <c r="N397" i="6" s="1"/>
  <c r="N785" i="6"/>
  <c r="N786" i="6" s="1"/>
  <c r="N787" i="6" s="1"/>
  <c r="N699" i="6"/>
  <c r="N700" i="6" s="1"/>
  <c r="N701" i="6" s="1"/>
  <c r="N1117" i="6"/>
  <c r="N1118" i="6" s="1"/>
  <c r="N1119" i="6" s="1"/>
  <c r="N963" i="6"/>
  <c r="N964" i="6" s="1"/>
  <c r="N965" i="6" s="1"/>
  <c r="N337" i="6"/>
  <c r="N338" i="6" s="1"/>
  <c r="N339" i="6" s="1"/>
  <c r="N843" i="6"/>
  <c r="N844" i="6" s="1"/>
  <c r="N845" i="6" s="1"/>
  <c r="N583" i="6"/>
  <c r="N584" i="6" s="1"/>
  <c r="N585" i="6" s="1"/>
  <c r="N670" i="6"/>
  <c r="N671" i="6" s="1"/>
  <c r="N672" i="6" s="1"/>
  <c r="N279" i="6"/>
  <c r="N280" i="6" s="1"/>
  <c r="N281" i="6" s="1"/>
  <c r="N728" i="6"/>
  <c r="N729" i="6" s="1"/>
  <c r="N730" i="6" s="1"/>
  <c r="N308" i="6"/>
  <c r="N309" i="6" s="1"/>
  <c r="N310" i="6" s="1"/>
  <c r="N1270" i="6"/>
  <c r="N1271" i="6" s="1"/>
  <c r="N1059" i="6"/>
  <c r="N1060" i="6" s="1"/>
  <c r="N1061" i="6" s="1"/>
  <c r="N520" i="6"/>
  <c r="N521" i="6" s="1"/>
  <c r="N522" i="6" s="1"/>
  <c r="N901" i="6"/>
  <c r="N902" i="6" s="1"/>
  <c r="N903" i="6" s="1"/>
  <c r="N814" i="6"/>
  <c r="N815" i="6" s="1"/>
  <c r="N816" i="6" s="1"/>
  <c r="N612" i="6"/>
  <c r="N613" i="6" s="1"/>
  <c r="N641" i="6"/>
  <c r="N642" i="6" s="1"/>
  <c r="N643" i="6" s="1"/>
  <c r="N1307" i="6"/>
  <c r="N1308" i="6" s="1"/>
  <c r="N1309" i="6" s="1"/>
  <c r="N491" i="6"/>
  <c r="N492" i="6" s="1"/>
  <c r="N756" i="6"/>
  <c r="N757" i="6" s="1"/>
  <c r="N1175" i="6"/>
  <c r="N1176" i="6" s="1"/>
  <c r="N1177" i="6" s="1"/>
  <c r="N872" i="6"/>
  <c r="N873" i="6" s="1"/>
  <c r="N874" i="6" s="1"/>
  <c r="N155" i="6"/>
  <c r="N156" i="6" s="1"/>
  <c r="N157" i="6" s="1"/>
  <c r="N426" i="6"/>
  <c r="N427" i="6" s="1"/>
  <c r="N428" i="6" s="1"/>
  <c r="N993" i="6"/>
  <c r="N994" i="6" s="1"/>
  <c r="N995" i="6" s="1"/>
  <c r="N366" i="6"/>
  <c r="N367" i="6" s="1"/>
  <c r="N368" i="6" s="1"/>
  <c r="N930" i="6"/>
  <c r="N931" i="6" s="1"/>
  <c r="N932" i="6" s="1"/>
  <c r="N126" i="6"/>
  <c r="N127" i="6" s="1"/>
  <c r="N128" i="6" s="1"/>
  <c r="N1088" i="6"/>
  <c r="N1089" i="6" s="1"/>
  <c r="N549" i="6"/>
  <c r="N550" i="6" s="1"/>
  <c r="N66" i="6"/>
  <c r="N67" i="6" s="1"/>
  <c r="N68" i="6" s="1"/>
  <c r="N250" i="6"/>
  <c r="N251" i="6" s="1"/>
  <c r="N252" i="6" s="1"/>
  <c r="N1146" i="6"/>
  <c r="N1147" i="6" s="1"/>
  <c r="N1148" i="6" s="1"/>
  <c r="N219" i="6"/>
  <c r="N220" i="6" s="1"/>
  <c r="N184" i="6"/>
  <c r="N185" i="6" s="1"/>
  <c r="N186" i="6" s="1"/>
  <c r="AD75" i="3"/>
  <c r="N1206" i="6" l="1"/>
  <c r="N1207" i="6" s="1"/>
  <c r="N1208" i="6" s="1"/>
  <c r="N758" i="6"/>
  <c r="N759" i="6" s="1"/>
  <c r="N760" i="6" s="1"/>
  <c r="N614" i="6"/>
  <c r="N615" i="6" s="1"/>
  <c r="N616" i="6" s="1"/>
  <c r="L26" i="6" s="1"/>
  <c r="N1090" i="6"/>
  <c r="N1091" i="6" s="1"/>
  <c r="N1092" i="6" s="1"/>
  <c r="N1272" i="6"/>
  <c r="N1273" i="6" s="1"/>
  <c r="N1274" i="6" s="1"/>
  <c r="N493" i="6"/>
  <c r="N494" i="6" s="1"/>
  <c r="N495" i="6" s="1"/>
  <c r="N551" i="6"/>
  <c r="N552" i="6" s="1"/>
  <c r="N553" i="6" s="1"/>
  <c r="N221" i="6"/>
  <c r="N187" i="6"/>
  <c r="N188" i="6" s="1"/>
  <c r="N97" i="6"/>
  <c r="N98" i="6" s="1"/>
  <c r="N129" i="6"/>
  <c r="N130" i="6" s="1"/>
  <c r="N875" i="6"/>
  <c r="N876" i="6" s="1"/>
  <c r="N1178" i="6"/>
  <c r="N1179" i="6" s="1"/>
  <c r="N311" i="6"/>
  <c r="N312" i="6" s="1"/>
  <c r="N1310" i="6"/>
  <c r="N1311" i="6" s="1"/>
  <c r="N933" i="6"/>
  <c r="N934" i="6" s="1"/>
  <c r="N1062" i="6"/>
  <c r="N1063" i="6" s="1"/>
  <c r="N282" i="6"/>
  <c r="N283" i="6" s="1"/>
  <c r="N523" i="6"/>
  <c r="N524" i="6" s="1"/>
  <c r="N369" i="6"/>
  <c r="N370" i="6" s="1"/>
  <c r="N846" i="6"/>
  <c r="N847" i="6" s="1"/>
  <c r="N1149" i="6"/>
  <c r="N1150" i="6" s="1"/>
  <c r="N253" i="6"/>
  <c r="N254" i="6" s="1"/>
  <c r="N1025" i="6"/>
  <c r="N1026" i="6" s="1"/>
  <c r="N158" i="6"/>
  <c r="N159" i="6" s="1"/>
  <c r="N69" i="6"/>
  <c r="N70" i="6" s="1"/>
  <c r="U70" i="6" s="1"/>
  <c r="N966" i="6"/>
  <c r="N967" i="6" s="1"/>
  <c r="N1236" i="6"/>
  <c r="N1237" i="6" s="1"/>
  <c r="N788" i="6"/>
  <c r="N789" i="6" s="1"/>
  <c r="N644" i="6"/>
  <c r="N645" i="6" s="1"/>
  <c r="L27" i="6" s="1"/>
  <c r="N702" i="6"/>
  <c r="N703" i="6" s="1"/>
  <c r="N340" i="6"/>
  <c r="N341" i="6" s="1"/>
  <c r="N1120" i="6"/>
  <c r="N1121" i="6" s="1"/>
  <c r="N462" i="6"/>
  <c r="N463" i="6" s="1"/>
  <c r="N586" i="6"/>
  <c r="N587" i="6" s="1"/>
  <c r="L25" i="6" s="1"/>
  <c r="N731" i="6"/>
  <c r="N732" i="6" s="1"/>
  <c r="AD76" i="3"/>
  <c r="N429" i="6"/>
  <c r="N430" i="6" s="1"/>
  <c r="N817" i="6"/>
  <c r="N818" i="6" s="1"/>
  <c r="N398" i="6"/>
  <c r="N399" i="6" s="1"/>
  <c r="N904" i="6"/>
  <c r="N905" i="6" s="1"/>
  <c r="N673" i="6"/>
  <c r="N674" i="6" s="1"/>
  <c r="L28" i="6" s="1"/>
  <c r="N996" i="6"/>
  <c r="N997" i="6" s="1"/>
  <c r="O21" i="6" l="1"/>
  <c r="U463" i="6"/>
  <c r="S22" i="6"/>
  <c r="Q10" i="6"/>
  <c r="U130" i="6"/>
  <c r="N222" i="6"/>
  <c r="N223" i="6" s="1"/>
  <c r="Q20" i="6"/>
  <c r="R20" i="6"/>
  <c r="N20" i="6"/>
  <c r="O20" i="6"/>
  <c r="S20" i="6"/>
  <c r="P20" i="6"/>
  <c r="Q28" i="6"/>
  <c r="R28" i="6"/>
  <c r="P28" i="6"/>
  <c r="O28" i="6"/>
  <c r="S28" i="6"/>
  <c r="N28" i="6"/>
  <c r="Q16" i="6"/>
  <c r="P16" i="6"/>
  <c r="S16" i="6"/>
  <c r="R16" i="6"/>
  <c r="O16" i="6"/>
  <c r="N16" i="6"/>
  <c r="N17" i="6"/>
  <c r="P17" i="6"/>
  <c r="R17" i="6"/>
  <c r="Q17" i="6"/>
  <c r="O17" i="6"/>
  <c r="S17" i="6"/>
  <c r="P25" i="6"/>
  <c r="O25" i="6"/>
  <c r="S25" i="6"/>
  <c r="N25" i="6"/>
  <c r="Q25" i="6"/>
  <c r="R25" i="6"/>
  <c r="Q11" i="6"/>
  <c r="O11" i="6"/>
  <c r="S11" i="6"/>
  <c r="R11" i="6"/>
  <c r="N11" i="6"/>
  <c r="P11" i="6"/>
  <c r="R24" i="6"/>
  <c r="Q24" i="6"/>
  <c r="P24" i="6"/>
  <c r="O24" i="6"/>
  <c r="S24" i="6"/>
  <c r="N24" i="6"/>
  <c r="Q14" i="6"/>
  <c r="O14" i="6"/>
  <c r="S14" i="6"/>
  <c r="N14" i="6"/>
  <c r="R14" i="6"/>
  <c r="P14" i="6"/>
  <c r="O26" i="6"/>
  <c r="N26" i="6"/>
  <c r="Q26" i="6"/>
  <c r="R26" i="6"/>
  <c r="S26" i="6"/>
  <c r="P26" i="6"/>
  <c r="O27" i="6"/>
  <c r="Q27" i="6"/>
  <c r="S27" i="6"/>
  <c r="P27" i="6"/>
  <c r="N27" i="6"/>
  <c r="R27" i="6"/>
  <c r="Q18" i="6"/>
  <c r="S18" i="6"/>
  <c r="R18" i="6"/>
  <c r="P18" i="6"/>
  <c r="N18" i="6"/>
  <c r="O18" i="6"/>
  <c r="N12" i="6"/>
  <c r="R12" i="6"/>
  <c r="Q12" i="6"/>
  <c r="O12" i="6"/>
  <c r="S12" i="6"/>
  <c r="P12" i="6"/>
  <c r="O23" i="6"/>
  <c r="S23" i="6"/>
  <c r="Q23" i="6"/>
  <c r="N23" i="6"/>
  <c r="P23" i="6"/>
  <c r="R23" i="6"/>
  <c r="S19" i="6"/>
  <c r="P19" i="6"/>
  <c r="N19" i="6"/>
  <c r="O19" i="6"/>
  <c r="R19" i="6"/>
  <c r="Q19" i="6"/>
  <c r="R15" i="6"/>
  <c r="Q15" i="6"/>
  <c r="S15" i="6"/>
  <c r="O15" i="6"/>
  <c r="P15" i="6"/>
  <c r="N15" i="6"/>
  <c r="S9" i="6"/>
  <c r="N9" i="6"/>
  <c r="P9" i="6"/>
  <c r="R9" i="6"/>
  <c r="Q9" i="6"/>
  <c r="O9" i="6"/>
  <c r="Q21" i="6" l="1"/>
  <c r="P21" i="6"/>
  <c r="N21" i="6"/>
  <c r="R21" i="6"/>
  <c r="S21" i="6"/>
  <c r="N22" i="6"/>
  <c r="Q22" i="6"/>
  <c r="O22" i="6"/>
  <c r="P22" i="6"/>
  <c r="R22" i="6"/>
  <c r="R10" i="6"/>
  <c r="O10" i="6"/>
  <c r="P10" i="6"/>
  <c r="S10" i="6"/>
  <c r="N10" i="6"/>
  <c r="S13" i="6"/>
  <c r="Q13" i="6"/>
  <c r="P13" i="6"/>
  <c r="O13" i="6"/>
  <c r="R13" i="6"/>
  <c r="N13" i="6"/>
  <c r="S8" i="6"/>
  <c r="P8" i="6"/>
  <c r="O8" i="6"/>
  <c r="R8" i="6"/>
  <c r="N8" i="6"/>
  <c r="AD77" i="3" l="1"/>
  <c r="N30" i="6"/>
  <c r="R30" i="6"/>
  <c r="P30" i="6"/>
  <c r="S30" i="6"/>
  <c r="O30" i="6"/>
  <c r="Q8" i="6"/>
  <c r="Q30" i="6" s="1"/>
  <c r="R66" i="3"/>
  <c r="R72" i="3" s="1"/>
  <c r="R75" i="3" s="1"/>
  <c r="R77" i="3" s="1"/>
  <c r="N66" i="3"/>
  <c r="N72" i="3" s="1"/>
  <c r="N75" i="3" s="1"/>
  <c r="N77" i="3" s="1"/>
  <c r="O66" i="3"/>
  <c r="O72" i="3" s="1"/>
  <c r="Q66" i="3"/>
  <c r="Q72" i="3" s="1"/>
  <c r="Q75" i="3" s="1"/>
  <c r="Q77" i="3" s="1"/>
  <c r="AA66" i="3"/>
  <c r="AA72" i="3" s="1"/>
  <c r="AA75" i="3" s="1"/>
  <c r="AA77" i="3" s="1"/>
  <c r="X66" i="3"/>
  <c r="X72" i="3" s="1"/>
  <c r="X75" i="3" s="1"/>
  <c r="X77" i="3" s="1"/>
  <c r="Y66" i="3"/>
  <c r="Y72" i="3" s="1"/>
  <c r="Y75" i="3" s="1"/>
  <c r="Y77" i="3" s="1"/>
  <c r="K66" i="3"/>
  <c r="K72" i="3" s="1"/>
  <c r="M66" i="3"/>
  <c r="M72" i="3" s="1"/>
  <c r="M75" i="3" s="1"/>
  <c r="M77" i="3" s="1"/>
  <c r="S66" i="3"/>
  <c r="S72" i="3" s="1"/>
  <c r="T66" i="3"/>
  <c r="T72" i="3" s="1"/>
  <c r="J66" i="3"/>
  <c r="J72" i="3" s="1"/>
  <c r="W66" i="3"/>
  <c r="W72" i="3" s="1"/>
  <c r="Z66" i="3"/>
  <c r="Z72" i="3" s="1"/>
  <c r="Z75" i="3" s="1"/>
  <c r="Z77" i="3" s="1"/>
  <c r="L66" i="3"/>
  <c r="L72" i="3" s="1"/>
  <c r="L75" i="3" s="1"/>
  <c r="L77" i="3" s="1"/>
  <c r="U66" i="3"/>
  <c r="U72" i="3" s="1"/>
  <c r="P66" i="3"/>
  <c r="P72" i="3" s="1"/>
  <c r="P75" i="3" s="1"/>
  <c r="P77" i="3" s="1"/>
  <c r="V66" i="3"/>
  <c r="V72" i="3" s="1"/>
  <c r="V75" i="3" s="1"/>
  <c r="V77" i="3" s="1"/>
  <c r="J65" i="3"/>
  <c r="J22" i="19"/>
  <c r="K74" i="3" l="1"/>
  <c r="K75" i="3"/>
  <c r="K77" i="3" s="1"/>
  <c r="W74" i="3"/>
  <c r="W75" i="3"/>
  <c r="W77" i="3" s="1"/>
  <c r="T73" i="3"/>
  <c r="T75" i="3"/>
  <c r="T77" i="3" s="1"/>
  <c r="S73" i="3"/>
  <c r="S75" i="3"/>
  <c r="S77" i="3" s="1"/>
  <c r="O74" i="3"/>
  <c r="O75" i="3"/>
  <c r="O77" i="3" s="1"/>
  <c r="J74" i="3"/>
  <c r="J75" i="3"/>
  <c r="J77" i="3" s="1"/>
  <c r="U73" i="3"/>
  <c r="U75" i="3"/>
  <c r="U77" i="3" s="1"/>
  <c r="R74" i="3"/>
  <c r="R76" i="3"/>
  <c r="V74" i="3"/>
  <c r="L74" i="3"/>
  <c r="L76" i="3"/>
  <c r="AA73" i="3"/>
  <c r="AA76" i="3"/>
  <c r="P73" i="3"/>
  <c r="K73" i="3"/>
  <c r="S74" i="3"/>
  <c r="N76" i="3"/>
  <c r="Y73" i="3"/>
  <c r="R73" i="3"/>
  <c r="N73" i="3"/>
  <c r="N74" i="3"/>
  <c r="Z74" i="3"/>
  <c r="U74" i="3"/>
  <c r="Y74" i="3"/>
  <c r="W73" i="3"/>
  <c r="X73" i="3"/>
  <c r="X74" i="3"/>
  <c r="M76" i="3"/>
  <c r="Q73" i="3"/>
  <c r="Q74" i="3"/>
  <c r="P74" i="3"/>
  <c r="Z73" i="3"/>
  <c r="L73" i="3"/>
  <c r="V73" i="3"/>
  <c r="J73" i="3"/>
  <c r="M74" i="3"/>
  <c r="O73" i="3"/>
  <c r="AA74" i="3"/>
  <c r="M73" i="3"/>
  <c r="T74" i="3"/>
  <c r="Y69" i="3"/>
  <c r="X71" i="3"/>
  <c r="U68" i="3"/>
  <c r="T67" i="3"/>
  <c r="S71" i="3"/>
  <c r="R68" i="3"/>
  <c r="Z68" i="3"/>
  <c r="W71" i="3"/>
  <c r="V68" i="3"/>
  <c r="V65" i="3"/>
  <c r="T69" i="3"/>
  <c r="S68" i="3"/>
  <c r="AA71" i="3"/>
  <c r="Y68" i="3"/>
  <c r="AA68" i="3"/>
  <c r="Z71" i="3"/>
  <c r="AA65" i="3"/>
  <c r="Y71" i="3"/>
  <c r="X68" i="3"/>
  <c r="X65" i="3"/>
  <c r="AB72" i="3"/>
  <c r="Z69" i="3"/>
  <c r="X67" i="3"/>
  <c r="V71" i="3"/>
  <c r="U69" i="3"/>
  <c r="T65" i="3"/>
  <c r="R69" i="3"/>
  <c r="Q71" i="3"/>
  <c r="R65" i="3"/>
  <c r="O71" i="3"/>
  <c r="K69" i="3"/>
  <c r="AA69" i="3"/>
  <c r="AA67" i="3"/>
  <c r="Z65" i="3"/>
  <c r="Y65" i="3"/>
  <c r="W69" i="3"/>
  <c r="W67" i="3"/>
  <c r="V69" i="3"/>
  <c r="W65" i="3"/>
  <c r="U71" i="3"/>
  <c r="U67" i="3"/>
  <c r="T68" i="3"/>
  <c r="R71" i="3"/>
  <c r="R67" i="3"/>
  <c r="Q69" i="3"/>
  <c r="Q68" i="3"/>
  <c r="Q67" i="3"/>
  <c r="P71" i="3"/>
  <c r="P68" i="3"/>
  <c r="Q65" i="3"/>
  <c r="O69" i="3"/>
  <c r="O68" i="3"/>
  <c r="P65" i="3"/>
  <c r="N71" i="3"/>
  <c r="N67" i="3"/>
  <c r="O65" i="3"/>
  <c r="M71" i="3"/>
  <c r="M68" i="3"/>
  <c r="N65" i="3"/>
  <c r="L68" i="3"/>
  <c r="K67" i="3"/>
  <c r="L65" i="3"/>
  <c r="J68" i="3"/>
  <c r="K65" i="3"/>
  <c r="Z67" i="3"/>
  <c r="Y67" i="3"/>
  <c r="X69" i="3"/>
  <c r="W68" i="3"/>
  <c r="V67" i="3"/>
  <c r="T71" i="3"/>
  <c r="U65" i="3"/>
  <c r="S69" i="3"/>
  <c r="S67" i="3"/>
  <c r="S65" i="3"/>
  <c r="P69" i="3"/>
  <c r="P67" i="3"/>
  <c r="O67" i="3"/>
  <c r="N69" i="3"/>
  <c r="N68" i="3"/>
  <c r="M69" i="3"/>
  <c r="M67" i="3"/>
  <c r="L71" i="3"/>
  <c r="L69" i="3"/>
  <c r="L67" i="3"/>
  <c r="M65" i="3"/>
  <c r="K71" i="3"/>
  <c r="K68" i="3"/>
  <c r="J71" i="3"/>
  <c r="J69" i="3"/>
  <c r="J67" i="3"/>
  <c r="AB73" i="3" l="1"/>
  <c r="AB74" i="3"/>
  <c r="V76" i="3"/>
  <c r="W76" i="3"/>
  <c r="O76" i="3"/>
  <c r="T76" i="3"/>
  <c r="S76" i="3"/>
  <c r="P76" i="3"/>
  <c r="Y76" i="3"/>
  <c r="U76" i="3"/>
  <c r="K76" i="3"/>
  <c r="Z76" i="3"/>
  <c r="Q76" i="3"/>
  <c r="X76" i="3"/>
  <c r="J76" i="3"/>
  <c r="AB75" i="3" l="1"/>
  <c r="AB76" i="3" s="1"/>
  <c r="AB77" i="3" s="1"/>
  <c r="AB78" i="3" s="1"/>
  <c r="K78" i="3"/>
  <c r="J78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tc={2B61E086-12DC-4B26-A308-058159144CFF}</author>
  </authors>
  <commentList>
    <comment ref="G332" authorId="0" shapeId="0" xr:uid="{2B61E086-12DC-4B26-A308-058159144CFF}">
      <text>
        <t>[Threaded comment]
Your version of Excel allows you to read this threaded comment; however, any edits to it will get removed if the file is opened in a newer version of Excel. Learn more: https://go.microsoft.com/fwlink/?linkid=870924
Comment:
    Per JQ Engineering, might need to assume a 24"x30" grade beam</t>
      </text>
    </comment>
  </commentList>
</comments>
</file>

<file path=xl/sharedStrings.xml><?xml version="1.0" encoding="utf-8"?>
<sst xmlns="http://schemas.openxmlformats.org/spreadsheetml/2006/main" count="2896" uniqueCount="872">
  <si>
    <t>Weeks</t>
  </si>
  <si>
    <t>Months</t>
  </si>
  <si>
    <t>BID</t>
  </si>
  <si>
    <t>SITE</t>
  </si>
  <si>
    <t>Site Area:</t>
  </si>
  <si>
    <t>SF</t>
  </si>
  <si>
    <t>Acres</t>
  </si>
  <si>
    <t>LF</t>
  </si>
  <si>
    <t>BLDG</t>
  </si>
  <si>
    <t>NEG</t>
  </si>
  <si>
    <t>TI</t>
  </si>
  <si>
    <t>Appliances</t>
  </si>
  <si>
    <t>Other</t>
  </si>
  <si>
    <t>Description</t>
  </si>
  <si>
    <t>SHELL</t>
  </si>
  <si>
    <t>-</t>
  </si>
  <si>
    <t>Division</t>
  </si>
  <si>
    <t>COMMENTS</t>
  </si>
  <si>
    <t>TOTAL</t>
  </si>
  <si>
    <t>LOW SUB</t>
  </si>
  <si>
    <t>2nd BID</t>
  </si>
  <si>
    <t>2nd SUB</t>
  </si>
  <si>
    <t>NOTES</t>
  </si>
  <si>
    <t>Qty.</t>
  </si>
  <si>
    <t>COST OF WORK</t>
  </si>
  <si>
    <t>01</t>
  </si>
  <si>
    <t>GENERAL REQUIREMENTS</t>
  </si>
  <si>
    <t>010000</t>
  </si>
  <si>
    <t xml:space="preserve">GENERAL REQUIREMENTS </t>
  </si>
  <si>
    <t>x</t>
  </si>
  <si>
    <t xml:space="preserve">PRECONSTRUCTION SERVICES </t>
  </si>
  <si>
    <t>02</t>
  </si>
  <si>
    <t>SITE WORK</t>
  </si>
  <si>
    <t>02300</t>
  </si>
  <si>
    <t>EARTHWORK</t>
  </si>
  <si>
    <t>02360</t>
  </si>
  <si>
    <t xml:space="preserve">TERMITE CONTROL </t>
  </si>
  <si>
    <t>02500</t>
  </si>
  <si>
    <t>SITE UTILITIES</t>
  </si>
  <si>
    <t>02780</t>
  </si>
  <si>
    <t xml:space="preserve">PAVEMENT MARKINGS </t>
  </si>
  <si>
    <t>02800</t>
  </si>
  <si>
    <t xml:space="preserve">FENCING </t>
  </si>
  <si>
    <t>02890</t>
  </si>
  <si>
    <t>SITE SPECIALTIES</t>
  </si>
  <si>
    <t>02900</t>
  </si>
  <si>
    <t>LANDSCAPING &amp; IRRIGATION</t>
  </si>
  <si>
    <t>03</t>
  </si>
  <si>
    <t>CONCRETE</t>
  </si>
  <si>
    <t>03300</t>
  </si>
  <si>
    <t>04</t>
  </si>
  <si>
    <t>MASONRY</t>
  </si>
  <si>
    <t>04200</t>
  </si>
  <si>
    <t xml:space="preserve">MASONRY </t>
  </si>
  <si>
    <t>05</t>
  </si>
  <si>
    <t>METALS</t>
  </si>
  <si>
    <t>05100</t>
  </si>
  <si>
    <t>STRUCTURAL STEEL</t>
  </si>
  <si>
    <t>06</t>
  </si>
  <si>
    <t>WOODS &amp; PLASTICS</t>
  </si>
  <si>
    <t>06100</t>
  </si>
  <si>
    <t>ROUGH CARPENTRY</t>
  </si>
  <si>
    <t>06400</t>
  </si>
  <si>
    <t xml:space="preserve">FINISH CARPENTRY / MILLWORK </t>
  </si>
  <si>
    <t>07</t>
  </si>
  <si>
    <t>THERMAL &amp; MOISTURE PROTECTION</t>
  </si>
  <si>
    <t>07240</t>
  </si>
  <si>
    <t>07400</t>
  </si>
  <si>
    <t xml:space="preserve">METAL PANELS </t>
  </si>
  <si>
    <t>07500</t>
  </si>
  <si>
    <t xml:space="preserve">ROOFING </t>
  </si>
  <si>
    <t>07900</t>
  </si>
  <si>
    <t xml:space="preserve">WATERPROOFING / CAULKING &amp; SEALANTS </t>
  </si>
  <si>
    <t>08</t>
  </si>
  <si>
    <t>OPENINGS</t>
  </si>
  <si>
    <t>08100</t>
  </si>
  <si>
    <t>DOORS / FRAMES / HARDWARE</t>
  </si>
  <si>
    <t>08360</t>
  </si>
  <si>
    <t xml:space="preserve">OVERHEAD DOORS </t>
  </si>
  <si>
    <t>08400</t>
  </si>
  <si>
    <t xml:space="preserve">STOREFRONT / CURTAINWALL / GLASS &amp; GLAZING </t>
  </si>
  <si>
    <t>09</t>
  </si>
  <si>
    <t>FINISHES</t>
  </si>
  <si>
    <t>09250</t>
  </si>
  <si>
    <t xml:space="preserve">DRYWALL / ACOUSTICAL </t>
  </si>
  <si>
    <t>09600</t>
  </si>
  <si>
    <t>FLOORING</t>
  </si>
  <si>
    <t>09900</t>
  </si>
  <si>
    <t xml:space="preserve">PAINTING </t>
  </si>
  <si>
    <t>10</t>
  </si>
  <si>
    <t>SPECIALTIES</t>
  </si>
  <si>
    <t>10100</t>
  </si>
  <si>
    <t>STANDARD SPECIALTIES</t>
  </si>
  <si>
    <t>10700</t>
  </si>
  <si>
    <t>11</t>
  </si>
  <si>
    <t>EQUIPMENT</t>
  </si>
  <si>
    <t>12</t>
  </si>
  <si>
    <t>FURNISHINGS</t>
  </si>
  <si>
    <t>WINDOW TREATMENTS</t>
  </si>
  <si>
    <t>13</t>
  </si>
  <si>
    <t>SPECIAL CONSTRUCTION</t>
  </si>
  <si>
    <t>14</t>
  </si>
  <si>
    <t>CONVEYING SYSTEMS</t>
  </si>
  <si>
    <t>15</t>
  </si>
  <si>
    <t>MECHANICAL</t>
  </si>
  <si>
    <t xml:space="preserve">FIRE PROTECTION </t>
  </si>
  <si>
    <t>PLUMBING</t>
  </si>
  <si>
    <t>HVAC</t>
  </si>
  <si>
    <t>16</t>
  </si>
  <si>
    <t>ELECTRICAL &amp; LOW VOLTAGE</t>
  </si>
  <si>
    <t>ELECTRICAL</t>
  </si>
  <si>
    <t>SUBTOTAL - COST OF WORK</t>
  </si>
  <si>
    <t>GENERAL CONDITIONS</t>
  </si>
  <si>
    <t xml:space="preserve">SUBTOTAL - </t>
  </si>
  <si>
    <t xml:space="preserve">INSURANCE - GENERAL LIABILITY </t>
  </si>
  <si>
    <t xml:space="preserve">INSURANCE - BUILDER'S RISK </t>
  </si>
  <si>
    <t xml:space="preserve">BUILDING PERMIT </t>
  </si>
  <si>
    <t xml:space="preserve">PERFORMANCE &amp; PAYMENT BONDS </t>
  </si>
  <si>
    <t xml:space="preserve">CONTRACTOR'S CONTINGENCY </t>
  </si>
  <si>
    <t xml:space="preserve">OVERHEAD &amp; PROFIT </t>
  </si>
  <si>
    <t>Per Sqft</t>
  </si>
  <si>
    <t>RATES</t>
  </si>
  <si>
    <t>Per Acre</t>
  </si>
  <si>
    <t>Insurance - General Liability</t>
  </si>
  <si>
    <t>Insurance - Builder's Risk</t>
  </si>
  <si>
    <t>Casework</t>
  </si>
  <si>
    <t>Roofing</t>
  </si>
  <si>
    <t>Drywall</t>
  </si>
  <si>
    <t>Sealed Concrete</t>
  </si>
  <si>
    <t>Specialties</t>
  </si>
  <si>
    <t>Plumbing</t>
  </si>
  <si>
    <t>Electrical</t>
  </si>
  <si>
    <t>Fencing</t>
  </si>
  <si>
    <t>Project Management Software</t>
  </si>
  <si>
    <t>JUMP TO DIVISION</t>
  </si>
  <si>
    <t>DIV 01</t>
  </si>
  <si>
    <t>DIV 05</t>
  </si>
  <si>
    <t>DIV 09</t>
  </si>
  <si>
    <t>DIV 13</t>
  </si>
  <si>
    <t>DIV 02</t>
  </si>
  <si>
    <t>DIV 06</t>
  </si>
  <si>
    <t>DIV 10</t>
  </si>
  <si>
    <t>DIV 14</t>
  </si>
  <si>
    <t>DIV 03</t>
  </si>
  <si>
    <t>DIV 07</t>
  </si>
  <si>
    <t>DIV 11</t>
  </si>
  <si>
    <t>DIV 15</t>
  </si>
  <si>
    <t>DIV 04</t>
  </si>
  <si>
    <t>DIV 08</t>
  </si>
  <si>
    <t>DIV 12</t>
  </si>
  <si>
    <t>DIV 16</t>
  </si>
  <si>
    <t>Unit</t>
  </si>
  <si>
    <t>Unit Price</t>
  </si>
  <si>
    <t>Extended Price</t>
  </si>
  <si>
    <t>SUB PRICING</t>
  </si>
  <si>
    <t>N</t>
  </si>
  <si>
    <t>SITE LOGISTICS</t>
  </si>
  <si>
    <t>Construction Fencing</t>
  </si>
  <si>
    <t>(at Trailer/Yard Only)</t>
  </si>
  <si>
    <t>Street / Sidewalk Rental</t>
  </si>
  <si>
    <t>Days</t>
  </si>
  <si>
    <t>Gates</t>
  </si>
  <si>
    <t>Each</t>
  </si>
  <si>
    <t>Radio System / Site Communications</t>
  </si>
  <si>
    <t>LS</t>
  </si>
  <si>
    <t>CLEAN UP</t>
  </si>
  <si>
    <t>Progress Clean-Up / Day Labor</t>
  </si>
  <si>
    <t>Labor Days / Week</t>
  </si>
  <si>
    <t>Dumpsters / Recycling</t>
  </si>
  <si>
    <t>Dumps/Week</t>
  </si>
  <si>
    <t>Load</t>
  </si>
  <si>
    <t>Final Clean</t>
  </si>
  <si>
    <t>Office</t>
  </si>
  <si>
    <t>Windows</t>
  </si>
  <si>
    <t>COORDINATION</t>
  </si>
  <si>
    <t>Initial Survey - Control Layout / Building Corners</t>
  </si>
  <si>
    <t>Roof/Waterproof/Envelope Consultant</t>
  </si>
  <si>
    <t>City Plan Review</t>
  </si>
  <si>
    <t>(Expediters)</t>
  </si>
  <si>
    <t>Specialty Consultants</t>
  </si>
  <si>
    <t>GENERAL EQUIPMENT</t>
  </si>
  <si>
    <t>Pumping</t>
  </si>
  <si>
    <t>Small Tools</t>
  </si>
  <si>
    <t>General Rentals</t>
  </si>
  <si>
    <t>Generators</t>
  </si>
  <si>
    <t>Fuel / Maintenance</t>
  </si>
  <si>
    <t>Surveillance</t>
  </si>
  <si>
    <t>TOTAL BASE BID</t>
  </si>
  <si>
    <t>Demolition</t>
  </si>
  <si>
    <t>Flooring</t>
  </si>
  <si>
    <t>Ceilings</t>
  </si>
  <si>
    <t>Erosion Control</t>
  </si>
  <si>
    <t>Administrative</t>
  </si>
  <si>
    <t>SWPPP Plan</t>
  </si>
  <si>
    <t>NOI Fee</t>
  </si>
  <si>
    <t>SWPPP Sign</t>
  </si>
  <si>
    <t>SWPPP Inspections</t>
  </si>
  <si>
    <t>Wks</t>
  </si>
  <si>
    <t>BMPs</t>
  </si>
  <si>
    <t>Construction Entrance (35'x50')</t>
  </si>
  <si>
    <t>Silt Fence</t>
  </si>
  <si>
    <t>Inlet Protection</t>
  </si>
  <si>
    <t>SY</t>
  </si>
  <si>
    <t>Construction</t>
  </si>
  <si>
    <t>SWPPP Maintenance &amp; Repair</t>
  </si>
  <si>
    <t>SWPPP Removal</t>
  </si>
  <si>
    <t>Saw Cut Concrete</t>
  </si>
  <si>
    <t>Excavation</t>
  </si>
  <si>
    <t>Clear &amp; Grub</t>
  </si>
  <si>
    <t>Trees</t>
  </si>
  <si>
    <t>Strip Topsoil</t>
  </si>
  <si>
    <t>Assumes 6"</t>
  </si>
  <si>
    <t>BCY</t>
  </si>
  <si>
    <t>Backfill Islands/Curbs &amp; Re-Spread</t>
  </si>
  <si>
    <t>Site Cut / Fill</t>
  </si>
  <si>
    <t>Balanced</t>
  </si>
  <si>
    <t>Avg.</t>
  </si>
  <si>
    <t>Ft.</t>
  </si>
  <si>
    <t>Import Common Fill</t>
  </si>
  <si>
    <t>TCY</t>
  </si>
  <si>
    <t>Haul Off Excess Cut</t>
  </si>
  <si>
    <t>Paving Preparation</t>
  </si>
  <si>
    <t>Grade &amp; Compact Paving</t>
  </si>
  <si>
    <t>Entry Drives</t>
  </si>
  <si>
    <t>Fire Lanes</t>
  </si>
  <si>
    <t>Truck Courts</t>
  </si>
  <si>
    <t>Trailer Storage</t>
  </si>
  <si>
    <t>Auto Parking</t>
  </si>
  <si>
    <t>Lime Stabilize Paving</t>
  </si>
  <si>
    <t>Spec:</t>
  </si>
  <si>
    <t>Building Pad Preparation</t>
  </si>
  <si>
    <t>Building Area</t>
  </si>
  <si>
    <t>LF Perim.</t>
  </si>
  <si>
    <t>Pad Area</t>
  </si>
  <si>
    <t>Basement Excavation</t>
  </si>
  <si>
    <t>Cut to Subgrade</t>
  </si>
  <si>
    <t>Ft</t>
  </si>
  <si>
    <t>Scarify/Recompact Subgrade</t>
  </si>
  <si>
    <t>Moisture Condition</t>
  </si>
  <si>
    <t>Select Fill Cap</t>
  </si>
  <si>
    <t>Exp. Fctr.</t>
  </si>
  <si>
    <t>Tons</t>
  </si>
  <si>
    <t>Miscellaneous</t>
  </si>
  <si>
    <t>Machine Grade Walks</t>
  </si>
  <si>
    <t>Cut Pad for Walls</t>
  </si>
  <si>
    <t>Street Sweeping</t>
  </si>
  <si>
    <t>Traffic Control</t>
  </si>
  <si>
    <t>Surveying (EW Operations)</t>
  </si>
  <si>
    <t>Termite Control</t>
  </si>
  <si>
    <t>Treatment Area - Under Slabs and Footings</t>
  </si>
  <si>
    <t>Mobilizations</t>
  </si>
  <si>
    <t>Site Utilities</t>
  </si>
  <si>
    <t>Water</t>
  </si>
  <si>
    <t>16" Water Main</t>
  </si>
  <si>
    <t>12" Water Main</t>
  </si>
  <si>
    <t>8" Water Main</t>
  </si>
  <si>
    <t>6" Water Main (Leads to FH)</t>
  </si>
  <si>
    <t>Fire Hydrant Assemblies</t>
  </si>
  <si>
    <t>2" Domestic Service</t>
  </si>
  <si>
    <t>Fire Riser</t>
  </si>
  <si>
    <t>Remote FDC</t>
  </si>
  <si>
    <t>1" Irrigation Service</t>
  </si>
  <si>
    <t>2" Backflow Preventer</t>
  </si>
  <si>
    <t>Domestic Service - 2"</t>
  </si>
  <si>
    <t>Vault - 2" (Domestic)</t>
  </si>
  <si>
    <t>Irrigation Service - 2"</t>
  </si>
  <si>
    <t>Vault - 2" (Irrigation)</t>
  </si>
  <si>
    <t xml:space="preserve">Gate Valves </t>
  </si>
  <si>
    <t>Tees, Bends, Reducers, Plugs, Etc.</t>
  </si>
  <si>
    <t>Tap Existing</t>
  </si>
  <si>
    <t>Bore Under Road</t>
  </si>
  <si>
    <t>Steel Casing</t>
  </si>
  <si>
    <t>Remove &amp; Replace Paving</t>
  </si>
  <si>
    <t>Sanitary</t>
  </si>
  <si>
    <t xml:space="preserve">3" Sanitary Sewer </t>
  </si>
  <si>
    <t>4' Diameter Manhole</t>
  </si>
  <si>
    <t>Wastewater Access Device</t>
  </si>
  <si>
    <t>Double Cleanout</t>
  </si>
  <si>
    <t>Cleanout</t>
  </si>
  <si>
    <t>Connect to Existing</t>
  </si>
  <si>
    <t>Bends, Wyes, Etc.</t>
  </si>
  <si>
    <t>Storm</t>
  </si>
  <si>
    <t>5'x4'</t>
  </si>
  <si>
    <t>RCB</t>
  </si>
  <si>
    <t>54"</t>
  </si>
  <si>
    <t>RCP</t>
  </si>
  <si>
    <t>36"</t>
  </si>
  <si>
    <t>18"</t>
  </si>
  <si>
    <t>12"</t>
  </si>
  <si>
    <t>PVC</t>
  </si>
  <si>
    <t>8-Grate Wye Inlets</t>
  </si>
  <si>
    <t>6-Grate Wye Inlets</t>
  </si>
  <si>
    <t>2-Grate Wye Inlets</t>
  </si>
  <si>
    <t>Curb Inlets</t>
  </si>
  <si>
    <t>5'</t>
  </si>
  <si>
    <t>10'</t>
  </si>
  <si>
    <t>14'</t>
  </si>
  <si>
    <t>20'</t>
  </si>
  <si>
    <t>21" Headwall</t>
  </si>
  <si>
    <t>30" Headwall</t>
  </si>
  <si>
    <t>36" Headwall</t>
  </si>
  <si>
    <t>42" Headwall</t>
  </si>
  <si>
    <t>54" Headwall</t>
  </si>
  <si>
    <t>Grouted Rip-Rap</t>
  </si>
  <si>
    <t>Mobilization</t>
  </si>
  <si>
    <t>Layout / Staking</t>
  </si>
  <si>
    <t>Trench Safety</t>
  </si>
  <si>
    <t>Spoil Haul-Off</t>
  </si>
  <si>
    <t xml:space="preserve">Pavement Markings </t>
  </si>
  <si>
    <t>Striping</t>
  </si>
  <si>
    <t>Signage</t>
  </si>
  <si>
    <t>HDCP Signs</t>
  </si>
  <si>
    <t>Directional/Informational Signs</t>
  </si>
  <si>
    <t>Wheel Stops</t>
  </si>
  <si>
    <t>Power Wash Lot</t>
  </si>
  <si>
    <t>Site Specialties</t>
  </si>
  <si>
    <t>Monument Sign</t>
  </si>
  <si>
    <t>Landscaping</t>
  </si>
  <si>
    <t>Ea</t>
  </si>
  <si>
    <t>Shrubs</t>
  </si>
  <si>
    <t>Ground Covers</t>
  </si>
  <si>
    <t>Bermuda Sod</t>
  </si>
  <si>
    <t>Landscape Beds</t>
  </si>
  <si>
    <t>Bermuda Seed</t>
  </si>
  <si>
    <t>Decomposed Granite</t>
  </si>
  <si>
    <t>Irrigation</t>
  </si>
  <si>
    <t>Groundcover &amp; Planting Beds</t>
  </si>
  <si>
    <t>Temp. Irrigation</t>
  </si>
  <si>
    <t>Sleeves</t>
  </si>
  <si>
    <t>Site Concrete</t>
  </si>
  <si>
    <t>Paving</t>
  </si>
  <si>
    <t>Sidewalks</t>
  </si>
  <si>
    <t>Building</t>
  </si>
  <si>
    <t xml:space="preserve"> ADA Ramps </t>
  </si>
  <si>
    <t>City</t>
  </si>
  <si>
    <t>Curbs</t>
  </si>
  <si>
    <t>Curb</t>
  </si>
  <si>
    <t>6"</t>
  </si>
  <si>
    <t>Monolithic Curb</t>
  </si>
  <si>
    <t>Light Pole Bases</t>
  </si>
  <si>
    <t>Bollard Install</t>
  </si>
  <si>
    <t>Transformer Pad</t>
  </si>
  <si>
    <t>Site Retaining Wall</t>
  </si>
  <si>
    <t>CY</t>
  </si>
  <si>
    <t>Dumpster Enclosure</t>
  </si>
  <si>
    <t>Median Cut / Turn Lane</t>
  </si>
  <si>
    <t>Building Concrete</t>
  </si>
  <si>
    <t>Foundations</t>
  </si>
  <si>
    <t>Piers</t>
  </si>
  <si>
    <t>Straight</t>
  </si>
  <si>
    <t>Straight Shaft</t>
  </si>
  <si>
    <t>24"</t>
  </si>
  <si>
    <t>Caps</t>
  </si>
  <si>
    <t>L</t>
  </si>
  <si>
    <t>W</t>
  </si>
  <si>
    <t>Thick</t>
  </si>
  <si>
    <t>F1</t>
  </si>
  <si>
    <t>F2</t>
  </si>
  <si>
    <t>F3</t>
  </si>
  <si>
    <t>F4</t>
  </si>
  <si>
    <t>Other Foundations</t>
  </si>
  <si>
    <t>Gradebeam</t>
  </si>
  <si>
    <t>Slabs</t>
  </si>
  <si>
    <t>4" Slab on Deck</t>
  </si>
  <si>
    <t>Other Miscellaneous - TI</t>
  </si>
  <si>
    <t>Masonry</t>
  </si>
  <si>
    <t>Exterior Elevations</t>
  </si>
  <si>
    <t>CMU Dumpster Enclosure</t>
  </si>
  <si>
    <t>Flashing</t>
  </si>
  <si>
    <t>Structural Steel</t>
  </si>
  <si>
    <t>Material</t>
  </si>
  <si>
    <t>Lbs/SF</t>
  </si>
  <si>
    <t>Deck</t>
  </si>
  <si>
    <t>Angles, Embeds, Plates, Etc.</t>
  </si>
  <si>
    <t>Erection</t>
  </si>
  <si>
    <t>Deck - Roof</t>
  </si>
  <si>
    <t>Miscellaneous Metals</t>
  </si>
  <si>
    <t>Bollards - Exterior</t>
  </si>
  <si>
    <t>Dumpster Gate</t>
  </si>
  <si>
    <t>Flights</t>
  </si>
  <si>
    <t>Rough Carpentry - SF</t>
  </si>
  <si>
    <t>Misc. Blocking / Plywood</t>
  </si>
  <si>
    <t>Finish Carpentry / Millwork</t>
  </si>
  <si>
    <t>RR Countertops</t>
  </si>
  <si>
    <t>Composite Metal Panels</t>
  </si>
  <si>
    <t xml:space="preserve">Composite Metal Panels </t>
  </si>
  <si>
    <t>60 Mil</t>
  </si>
  <si>
    <t>Warranty:</t>
  </si>
  <si>
    <t>Perimeter - Term Bar &amp; Flashing</t>
  </si>
  <si>
    <t>Roof Blocking</t>
  </si>
  <si>
    <t>in R. Carp.</t>
  </si>
  <si>
    <t>Downspouts</t>
  </si>
  <si>
    <t>Gutter</t>
  </si>
  <si>
    <t>Standing Seam</t>
  </si>
  <si>
    <t>Metal Soffit Panels</t>
  </si>
  <si>
    <t>Roof Hatch</t>
  </si>
  <si>
    <t>Site Caulking</t>
  </si>
  <si>
    <t>Pavement Caulk (Expansion)</t>
  </si>
  <si>
    <t>Pavement Caulk (Control)</t>
  </si>
  <si>
    <t>Curb Caulk</t>
  </si>
  <si>
    <t>Sidewalk Caulk</t>
  </si>
  <si>
    <t>Building Caulking</t>
  </si>
  <si>
    <t>Exterior Door Caulk</t>
  </si>
  <si>
    <t>Masonry Caulk &amp; Seal</t>
  </si>
  <si>
    <t>Fluid Applied Air Barrier</t>
  </si>
  <si>
    <t>Doors / Frames / Hardware</t>
  </si>
  <si>
    <t>Exterior HM Doors, Frames, &amp; Hardware</t>
  </si>
  <si>
    <t>HM Frames (3'0" x 7'0")</t>
  </si>
  <si>
    <t>HM Doors (3'0" x 7'0")</t>
  </si>
  <si>
    <t>Aluminum Frames</t>
  </si>
  <si>
    <t>Wood Doors (3'0" x 7'0")</t>
  </si>
  <si>
    <t>Prefinished</t>
  </si>
  <si>
    <t>Hardware</t>
  </si>
  <si>
    <t>Installation</t>
  </si>
  <si>
    <t>OH Doors &amp; Coiling Grilles</t>
  </si>
  <si>
    <t>Glass &amp; Glazing</t>
  </si>
  <si>
    <t>Curtainwall</t>
  </si>
  <si>
    <t>Exterior Storefront</t>
  </si>
  <si>
    <t>Interior Storefront</t>
  </si>
  <si>
    <t>Single Entry Doors</t>
  </si>
  <si>
    <t>TOTAL GLASS SF:</t>
  </si>
  <si>
    <t>Exterior Wall</t>
  </si>
  <si>
    <t>SFW</t>
  </si>
  <si>
    <t>Interior Partitions</t>
  </si>
  <si>
    <t>Drywall Ceilings</t>
  </si>
  <si>
    <t>Tile Flooring</t>
  </si>
  <si>
    <t>Floor Prep</t>
  </si>
  <si>
    <t>Floor Tile</t>
  </si>
  <si>
    <t>Wall Tile</t>
  </si>
  <si>
    <t>Resilient</t>
  </si>
  <si>
    <t>LVT</t>
  </si>
  <si>
    <t>Rubber Base</t>
  </si>
  <si>
    <t>Carpet</t>
  </si>
  <si>
    <t>Concrete</t>
  </si>
  <si>
    <t>Painting</t>
  </si>
  <si>
    <t>Paint HM Doors/Frames</t>
  </si>
  <si>
    <t xml:space="preserve">TBP Gypsum Walls </t>
  </si>
  <si>
    <t>Misc. Steel</t>
  </si>
  <si>
    <t>Toilet &amp; Bath Specialties</t>
  </si>
  <si>
    <t>Toilet Partitions</t>
  </si>
  <si>
    <t>Toilet Accessories</t>
  </si>
  <si>
    <t>Fire Protection Specialties</t>
  </si>
  <si>
    <t xml:space="preserve">Knox Box - Building </t>
  </si>
  <si>
    <t>Fire Extinguishers w/ Cabinet</t>
  </si>
  <si>
    <t>Required Door Signage</t>
  </si>
  <si>
    <t>Building Address Sign</t>
  </si>
  <si>
    <t>Window Treatments</t>
  </si>
  <si>
    <t>Shades</t>
  </si>
  <si>
    <t>PEMB</t>
  </si>
  <si>
    <t>Cameras</t>
  </si>
  <si>
    <t>Fire Protection</t>
  </si>
  <si>
    <t>New Wet Pipe System</t>
  </si>
  <si>
    <t>K-25 Heads (@ 75 psi)</t>
  </si>
  <si>
    <t>Schedule 7 Pipe</t>
  </si>
  <si>
    <t>Fixtures</t>
  </si>
  <si>
    <t>Roof Drains</t>
  </si>
  <si>
    <t>Floor Drains</t>
  </si>
  <si>
    <t>Gas Piping</t>
  </si>
  <si>
    <t>Water Heaters</t>
  </si>
  <si>
    <t>Exterior Hose Bibs</t>
  </si>
  <si>
    <t>Overflow Drains</t>
  </si>
  <si>
    <t>RTU's</t>
  </si>
  <si>
    <t xml:space="preserve">Exhaust Fans </t>
  </si>
  <si>
    <t>Controls</t>
  </si>
  <si>
    <t>Test and Balance</t>
  </si>
  <si>
    <t>Site Electrical</t>
  </si>
  <si>
    <t>Conduits to Transformer - (2 - 4")</t>
  </si>
  <si>
    <t>Conduits for Voice/Data - (2 - 4")</t>
  </si>
  <si>
    <t>Light Poles</t>
  </si>
  <si>
    <t>Bollard Lights</t>
  </si>
  <si>
    <t>Building Electrical</t>
  </si>
  <si>
    <t>Lighting &amp; Controls</t>
  </si>
  <si>
    <t>Power &amp; Switchgear</t>
  </si>
  <si>
    <t>Branch Wiring</t>
  </si>
  <si>
    <t>Rough-In</t>
  </si>
  <si>
    <t>A/V Rough-In</t>
  </si>
  <si>
    <t>Fire Alarm System</t>
  </si>
  <si>
    <t xml:space="preserve"> </t>
  </si>
  <si>
    <t>Legal</t>
  </si>
  <si>
    <t>Security System</t>
  </si>
  <si>
    <t>Canopies</t>
  </si>
  <si>
    <t>Duration:</t>
  </si>
  <si>
    <t>SUMMARY</t>
  </si>
  <si>
    <t>SUPERVISION</t>
  </si>
  <si>
    <t>TEMPORARY SERVICES</t>
  </si>
  <si>
    <t>SAFETY</t>
  </si>
  <si>
    <t>C.O.W. - See Division 01</t>
  </si>
  <si>
    <t>TOTAL:  GENERAL CONDITIONS</t>
  </si>
  <si>
    <t>TOTAL: GENERAL CONDITIONS &amp; REQUIREMENTS</t>
  </si>
  <si>
    <t>GENERAL CONDITIONS DETAIL</t>
  </si>
  <si>
    <t>QTY.</t>
  </si>
  <si>
    <t>U.M.</t>
  </si>
  <si>
    <t>Vice President</t>
  </si>
  <si>
    <t xml:space="preserve">Project Director         </t>
  </si>
  <si>
    <t>Senior Project Manager</t>
  </si>
  <si>
    <t>Project Manager</t>
  </si>
  <si>
    <t>Assistant Project Manager</t>
  </si>
  <si>
    <t>General Superintendent</t>
  </si>
  <si>
    <t xml:space="preserve">Superintendent </t>
  </si>
  <si>
    <t>Quality Control Engineer</t>
  </si>
  <si>
    <t>Assistant Superintendent</t>
  </si>
  <si>
    <t xml:space="preserve">Project Engineer      </t>
  </si>
  <si>
    <t xml:space="preserve">Project Coordinator    </t>
  </si>
  <si>
    <t>Senior Field Engineer</t>
  </si>
  <si>
    <t>Field Engineer</t>
  </si>
  <si>
    <t>Senior Safety Engineer</t>
  </si>
  <si>
    <t>Safety Engineer</t>
  </si>
  <si>
    <t>Field Office Manager</t>
  </si>
  <si>
    <t>Foreman</t>
  </si>
  <si>
    <t>Hours</t>
  </si>
  <si>
    <t>Carpenter</t>
  </si>
  <si>
    <t>Helper</t>
  </si>
  <si>
    <t>SUB-TOTAL:  SUPERVISION</t>
  </si>
  <si>
    <t>Field Office Trailer</t>
  </si>
  <si>
    <t>Month</t>
  </si>
  <si>
    <t xml:space="preserve">Field Office - Finish Out </t>
  </si>
  <si>
    <t>C.O.W. - See Trades</t>
  </si>
  <si>
    <t>Tool Trailer</t>
  </si>
  <si>
    <t>Move Trailers / Stair Setup</t>
  </si>
  <si>
    <t>Jobsite Security Fees</t>
  </si>
  <si>
    <t>Temporary Toilets</t>
  </si>
  <si>
    <t>Project Sign</t>
  </si>
  <si>
    <t>Utility Bills at Trailer</t>
  </si>
  <si>
    <t>Mobile Phones</t>
  </si>
  <si>
    <t>Jobsite IT Package &amp; Set Up</t>
  </si>
  <si>
    <t>Field Computers</t>
  </si>
  <si>
    <t>Jobsite Connectivity</t>
  </si>
  <si>
    <t>Cooler / Ice / Cups</t>
  </si>
  <si>
    <t>Field Office Supplies</t>
  </si>
  <si>
    <t>Field Office Furniture</t>
  </si>
  <si>
    <t>Plan Distribution</t>
  </si>
  <si>
    <t>Postage / Delivery</t>
  </si>
  <si>
    <t>Progress Photos</t>
  </si>
  <si>
    <t>Pct.</t>
  </si>
  <si>
    <t>Job Cost Accounting / Tracking</t>
  </si>
  <si>
    <t>Web Cameras - Jobsite Security</t>
  </si>
  <si>
    <t>SUB-TOTAL:  TEMPORARY SERVICES</t>
  </si>
  <si>
    <t>VEHICLES / FUEL</t>
  </si>
  <si>
    <t>Truck Allowance - Vice President</t>
  </si>
  <si>
    <t>Truck Allowance - Project Director</t>
  </si>
  <si>
    <t>Truck Allowance - SR PM</t>
  </si>
  <si>
    <t>Truck Allowance - PM</t>
  </si>
  <si>
    <t>Truck Allowance - Asst PM</t>
  </si>
  <si>
    <t>Truck Allowance - General Super</t>
  </si>
  <si>
    <t xml:space="preserve">Truck Allowance - SR Super </t>
  </si>
  <si>
    <t>Truck Allowance - Super</t>
  </si>
  <si>
    <t>Truck Allowance - QCE</t>
  </si>
  <si>
    <t>Truck Allowance - Asst Super</t>
  </si>
  <si>
    <t>Truck Allowance - PE</t>
  </si>
  <si>
    <t>Fuel Cost</t>
  </si>
  <si>
    <t>ATV Rental</t>
  </si>
  <si>
    <t>SUB-TOTAL:  EQUIPMENT</t>
  </si>
  <si>
    <t>Job Site Safety Requirements</t>
  </si>
  <si>
    <t>Safety Inspections</t>
  </si>
  <si>
    <t>Safety Railings</t>
  </si>
  <si>
    <t>First Aid Supplies</t>
  </si>
  <si>
    <t>Fire Extinguishers</t>
  </si>
  <si>
    <t>Safety Equipment</t>
  </si>
  <si>
    <t>Drug Testing</t>
  </si>
  <si>
    <t>Hard Hats</t>
  </si>
  <si>
    <t>SUB-TOTAL:  SAFETY</t>
  </si>
  <si>
    <t>Windscreen</t>
  </si>
  <si>
    <t>Dumpsters</t>
  </si>
  <si>
    <t>Final Clean - General</t>
  </si>
  <si>
    <t>Final Clean - Windows</t>
  </si>
  <si>
    <t>Expediters</t>
  </si>
  <si>
    <t>SUB-TOTAL:  GENERAL REQUIREMENTS</t>
  </si>
  <si>
    <t>ALTERNATES / VALUE ENGINEERING</t>
  </si>
  <si>
    <t>PROPOSED</t>
  </si>
  <si>
    <t>ACCEPTED</t>
  </si>
  <si>
    <t>REJECTED</t>
  </si>
  <si>
    <t>ACTION</t>
  </si>
  <si>
    <t>ITEM</t>
  </si>
  <si>
    <t>DESCRIPTION</t>
  </si>
  <si>
    <t>DATE</t>
  </si>
  <si>
    <t>VALUE</t>
  </si>
  <si>
    <t>STATUS</t>
  </si>
  <si>
    <t>ADDS</t>
  </si>
  <si>
    <t>DEDUCTS</t>
  </si>
  <si>
    <t>A</t>
  </si>
  <si>
    <t>PROP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</si>
  <si>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</si>
  <si>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</si>
  <si>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</si>
  <si>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</si>
  <si>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</si>
  <si>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</si>
  <si>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</si>
  <si>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</si>
  <si>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</si>
  <si>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</si>
  <si>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</si>
  <si>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O</t>
  </si>
  <si>
    <t>P</t>
  </si>
  <si>
    <t>Q</t>
  </si>
  <si>
    <t>R</t>
  </si>
  <si>
    <t>S</t>
  </si>
  <si>
    <t>T</t>
  </si>
  <si>
    <t>U</t>
  </si>
  <si>
    <t>ALTERNATE DETAILS</t>
  </si>
  <si>
    <t>TRADE</t>
  </si>
  <si>
    <t>SCOPE</t>
  </si>
  <si>
    <t>QTY</t>
  </si>
  <si>
    <t>UNIT</t>
  </si>
  <si>
    <t>U.P.</t>
  </si>
  <si>
    <t>EXTENDED</t>
  </si>
  <si>
    <t>NOTES &amp; COMMENTS</t>
  </si>
  <si>
    <t>SUB-TOTAL</t>
  </si>
  <si>
    <t>General Conditions</t>
  </si>
  <si>
    <t>Building Permit</t>
  </si>
  <si>
    <t>Subcontractor Default Insurance</t>
  </si>
  <si>
    <t>Performance &amp; Payment Bond</t>
  </si>
  <si>
    <t>Design Contingency</t>
  </si>
  <si>
    <t>Construction Contingency</t>
  </si>
  <si>
    <t>TO SUMMARY</t>
  </si>
  <si>
    <t>Overhead &amp; Profit</t>
  </si>
  <si>
    <t>Renovation Tax</t>
  </si>
  <si>
    <t>Inspection Fees</t>
  </si>
  <si>
    <t>P1</t>
  </si>
  <si>
    <t>Demo Existing Roadway Paving</t>
  </si>
  <si>
    <t>Maintenance Bond</t>
  </si>
  <si>
    <t>Standard Building Caulking &amp; Sealants</t>
  </si>
  <si>
    <t>Coping</t>
  </si>
  <si>
    <t>Misc. Decorative Site Lighting</t>
  </si>
  <si>
    <t>Sand/Oil Separator</t>
  </si>
  <si>
    <t>Rulon Wood Ceilings</t>
  </si>
  <si>
    <t>Shelving</t>
  </si>
  <si>
    <t>Solid Surface Counters</t>
  </si>
  <si>
    <t>Pan Stairs &amp; Landings</t>
  </si>
  <si>
    <t>Misc. Trim &amp; Millwork</t>
  </si>
  <si>
    <t>Acoustical Ceilings - 2x2</t>
  </si>
  <si>
    <t>RRs</t>
  </si>
  <si>
    <t>Lobby</t>
  </si>
  <si>
    <t>Paint Exposed Ceilings</t>
  </si>
  <si>
    <t>Wallcoverings</t>
  </si>
  <si>
    <t>(Foundation/Slab)</t>
  </si>
  <si>
    <t>Brick Veneer</t>
  </si>
  <si>
    <t>Brick Veneer @ Dumpster Enclosure</t>
  </si>
  <si>
    <t>Face Brick</t>
  </si>
  <si>
    <t>PVC Membrane Roofing</t>
  </si>
  <si>
    <t xml:space="preserve">Vapor Barrier - 15 Mil </t>
  </si>
  <si>
    <t>Waived by City</t>
  </si>
  <si>
    <t xml:space="preserve">  </t>
  </si>
  <si>
    <t>Trees - 6"-8"</t>
  </si>
  <si>
    <t>Trees - 4"-6"</t>
  </si>
  <si>
    <t>20-Yr NDL</t>
  </si>
  <si>
    <t>Polished Concrete</t>
  </si>
  <si>
    <t>Assume Uncased</t>
  </si>
  <si>
    <t>Thermostatic Mixing Valve</t>
  </si>
  <si>
    <t>Expansion Tank</t>
  </si>
  <si>
    <t>2'x2'6"</t>
  </si>
  <si>
    <t>Casing Allowance</t>
  </si>
  <si>
    <t>Precast Treads</t>
  </si>
  <si>
    <t>VCT</t>
  </si>
  <si>
    <t>Walk-Off Mats</t>
  </si>
  <si>
    <t>Remove Existing Sanitary</t>
  </si>
  <si>
    <t>FRP</t>
  </si>
  <si>
    <t>5" Slab on Grade Reinforced (#3 @ 18" ocew)</t>
  </si>
  <si>
    <t>Planting Beds</t>
  </si>
  <si>
    <t>Large Trees</t>
  </si>
  <si>
    <t>Ornamental Trees</t>
  </si>
  <si>
    <t>Artificial Turf</t>
  </si>
  <si>
    <t>Mowstrips</t>
  </si>
  <si>
    <t>Top Cast</t>
  </si>
  <si>
    <t>Hammocks</t>
  </si>
  <si>
    <t>Picnic Tables</t>
  </si>
  <si>
    <t>Wood Ceilings</t>
  </si>
  <si>
    <t>Exposed Steel Trusses</t>
  </si>
  <si>
    <t>Large Canopy</t>
  </si>
  <si>
    <t>Medium Canopy</t>
  </si>
  <si>
    <t>Trees - 3"-4"</t>
  </si>
  <si>
    <t>Small Canopy</t>
  </si>
  <si>
    <t>Small Shrubs</t>
  </si>
  <si>
    <t>Tif419</t>
  </si>
  <si>
    <t>Soffit Framing</t>
  </si>
  <si>
    <t>Acoustic Deck</t>
  </si>
  <si>
    <t>P2</t>
  </si>
  <si>
    <t>P3</t>
  </si>
  <si>
    <t>Full Vision Lites</t>
  </si>
  <si>
    <t>Aluminum Storefront Doors</t>
  </si>
  <si>
    <t>Rubber Stair Treads &amp; Landings</t>
  </si>
  <si>
    <t>Handicap</t>
  </si>
  <si>
    <t>Regular</t>
  </si>
  <si>
    <t>Urinal Screens</t>
  </si>
  <si>
    <t>Manual</t>
  </si>
  <si>
    <t>Motorized</t>
  </si>
  <si>
    <t>Lightning Protection System</t>
  </si>
  <si>
    <t>Electric Unit Heater</t>
  </si>
  <si>
    <t>VAV Boxes</t>
  </si>
  <si>
    <t>Electric</t>
  </si>
  <si>
    <t>Circulation Pump</t>
  </si>
  <si>
    <t>Water Hammer/Shock Arrestors</t>
  </si>
  <si>
    <t>Card Readers</t>
  </si>
  <si>
    <t>Door Contacts</t>
  </si>
  <si>
    <t>SECURITY &amp; SURVEILLANCE</t>
  </si>
  <si>
    <t>Video Management System</t>
  </si>
  <si>
    <t>Retaining Wall/Seat Wall Footing</t>
  </si>
  <si>
    <t>4"</t>
  </si>
  <si>
    <t>Demo Existing Ballfields</t>
  </si>
  <si>
    <t>3gal</t>
  </si>
  <si>
    <t>Fire Station Paving</t>
  </si>
  <si>
    <t>DETENTION EQUIPMENT</t>
  </si>
  <si>
    <t>11200</t>
  </si>
  <si>
    <t>11400</t>
  </si>
  <si>
    <t>LOCKERS</t>
  </si>
  <si>
    <t>Gear Grid Lockers</t>
  </si>
  <si>
    <t>Firefighter Lockers</t>
  </si>
  <si>
    <t>Police Lockers</t>
  </si>
  <si>
    <t>Gun Storage Lockers</t>
  </si>
  <si>
    <t>Evidence Storage Lockers</t>
  </si>
  <si>
    <t>Drug Storage Lockers</t>
  </si>
  <si>
    <t>Holding Cell - Benches, Detention Fixtures, Bunks</t>
  </si>
  <si>
    <t>Holding Cell - Bars &amp; Doors</t>
  </si>
  <si>
    <t>Swat Lockers</t>
  </si>
  <si>
    <t>Building Plaque</t>
  </si>
  <si>
    <t>Rapid Opening Doors</t>
  </si>
  <si>
    <t>Sally Port OH Doors</t>
  </si>
  <si>
    <t>OH Storage Doors</t>
  </si>
  <si>
    <t>Stainless Steel Casework</t>
  </si>
  <si>
    <t>Decontamination Casework</t>
  </si>
  <si>
    <t>Breakroom Casework</t>
  </si>
  <si>
    <t xml:space="preserve">Generator </t>
  </si>
  <si>
    <t>KVA</t>
  </si>
  <si>
    <t>ATS</t>
  </si>
  <si>
    <t>SDI</t>
  </si>
  <si>
    <t>Trench Drains</t>
  </si>
  <si>
    <t>Form Trench Drains</t>
  </si>
  <si>
    <t>Exhausted</t>
  </si>
  <si>
    <t>MagneGrip Exhaust System</t>
  </si>
  <si>
    <t>Compressed Air Piping</t>
  </si>
  <si>
    <t>Clopay or Equal</t>
  </si>
  <si>
    <t>Standard Apparatus Bay Doors</t>
  </si>
  <si>
    <t>Crime Lab Casework</t>
  </si>
  <si>
    <t>RESIDENTIAL APPLIANCES</t>
  </si>
  <si>
    <t>Firestation Kitchen</t>
  </si>
  <si>
    <t>Warming Kitchen</t>
  </si>
  <si>
    <t>DATA CABLING</t>
  </si>
  <si>
    <t>Data Cabling</t>
  </si>
  <si>
    <t>Cat 6</t>
  </si>
  <si>
    <t>Biometric Hand Readers</t>
  </si>
  <si>
    <t>Interview-Intercom System</t>
  </si>
  <si>
    <t>Intrustion Detection System</t>
  </si>
  <si>
    <t>DAS System</t>
  </si>
  <si>
    <t>Boot Drying Racks</t>
  </si>
  <si>
    <t>Fireman's Drying Cabinet</t>
  </si>
  <si>
    <t>Shower Enclosures</t>
  </si>
  <si>
    <t>11300</t>
  </si>
  <si>
    <t>LAB CASEWORK</t>
  </si>
  <si>
    <t>Storm Doors</t>
  </si>
  <si>
    <t>CMU Storm Shelter</t>
  </si>
  <si>
    <t>CMU @ Interior Walls</t>
  </si>
  <si>
    <t>12" CMU @ Exterior Walls</t>
  </si>
  <si>
    <t>8" CMU @ Exterior Walls</t>
  </si>
  <si>
    <t>Mezzanine Framing</t>
  </si>
  <si>
    <t>Mezzanine Guardrails</t>
  </si>
  <si>
    <t>Watchroom Casework</t>
  </si>
  <si>
    <t>Storage Shelving</t>
  </si>
  <si>
    <t>PLASTER</t>
  </si>
  <si>
    <t>Plaster</t>
  </si>
  <si>
    <t>Ceilings @ Shower &amp; Cells</t>
  </si>
  <si>
    <t>Pick Proof Joint Sealants</t>
  </si>
  <si>
    <t>Sliding Glass Windows</t>
  </si>
  <si>
    <t>SCBA Storage Cabinets</t>
  </si>
  <si>
    <t>Misc. Casework</t>
  </si>
  <si>
    <t>Outdoor Trellis</t>
  </si>
  <si>
    <t>@ Storm Shelter</t>
  </si>
  <si>
    <t>Mirrors @ Fitness Room</t>
  </si>
  <si>
    <t>Sports Flooring</t>
  </si>
  <si>
    <t>Gravel Drive @ Training Yard</t>
  </si>
  <si>
    <t>Security Fencing</t>
  </si>
  <si>
    <t>8' Tall; Black Tube Steel Fencing</t>
  </si>
  <si>
    <t>Pedestal w/Card Reader Access</t>
  </si>
  <si>
    <t>Operators</t>
  </si>
  <si>
    <t>Paint CMU Walls</t>
  </si>
  <si>
    <t>Storm Louver @ Shelter</t>
  </si>
  <si>
    <t>Conduits for EV Stations</t>
  </si>
  <si>
    <t>500 Gal.</t>
  </si>
  <si>
    <t>Steel Framing</t>
  </si>
  <si>
    <t>Park Allowance</t>
  </si>
  <si>
    <t>Covered Parking Canopy</t>
  </si>
  <si>
    <t>WALKWAY CANOPIES</t>
  </si>
  <si>
    <t>10600</t>
  </si>
  <si>
    <t>Allow</t>
  </si>
  <si>
    <t>Baby Drop Drawer</t>
  </si>
  <si>
    <t>Nozzle Testing</t>
  </si>
  <si>
    <t>Fume Hood Exhaust</t>
  </si>
  <si>
    <t>Fiber Loop</t>
  </si>
  <si>
    <t>Corner Guards</t>
  </si>
  <si>
    <t>Kitchen Island</t>
  </si>
  <si>
    <t>Markerboards</t>
  </si>
  <si>
    <t>Display Case</t>
  </si>
  <si>
    <t>Commercial Washer/Extractor</t>
  </si>
  <si>
    <t>Pair</t>
  </si>
  <si>
    <t>Decon Showers</t>
  </si>
  <si>
    <t>HVLS Fans @ Apparatus Bay</t>
  </si>
  <si>
    <t>Generator Pad</t>
  </si>
  <si>
    <t>Board Formliner @ Retaining Wall</t>
  </si>
  <si>
    <t>Stamped/Stained</t>
  </si>
  <si>
    <t>Additional Paving</t>
  </si>
  <si>
    <t>Parking Canopies</t>
  </si>
  <si>
    <t>Rolling Gate Gutters &amp; Pedestals</t>
  </si>
  <si>
    <t>CMU Generator Enclosure</t>
  </si>
  <si>
    <t>Brick Veneer @ Generator Enclosure</t>
  </si>
  <si>
    <t>CMU @ Seat Walls</t>
  </si>
  <si>
    <t>Brick Veneer @ Seat Walls</t>
  </si>
  <si>
    <t>Cast Stone Cape @ Seat Walls</t>
  </si>
  <si>
    <t>Site Screenwall</t>
  </si>
  <si>
    <t>8' Height</t>
  </si>
  <si>
    <t>Slide Gates</t>
  </si>
  <si>
    <t xml:space="preserve">8" Sanitary Sewer </t>
  </si>
  <si>
    <t xml:space="preserve">6" Sanitary Sewer </t>
  </si>
  <si>
    <t>Downspout Boots</t>
  </si>
  <si>
    <t>10" Slab on Grade @ Apparatus Bay</t>
  </si>
  <si>
    <t>Plumbing Void System</t>
  </si>
  <si>
    <t>20' Plus 10' Pen</t>
  </si>
  <si>
    <t>Cast Stone Tile</t>
  </si>
  <si>
    <t>Cast Stone Water Table</t>
  </si>
  <si>
    <t>Plaster Façade</t>
  </si>
  <si>
    <t>Glass Coiling Doors</t>
  </si>
  <si>
    <t>Expansion Joints</t>
  </si>
  <si>
    <t>Parking Canopy</t>
  </si>
  <si>
    <t>Ballistic Rated Lobbies</t>
  </si>
  <si>
    <t>Ballistic Rated Speak-Thru</t>
  </si>
  <si>
    <t>Acoustical Panels</t>
  </si>
  <si>
    <t>Furring @ CMU</t>
  </si>
  <si>
    <t>Lime Stabilization</t>
  </si>
  <si>
    <t>Scarify &amp; Recompact</t>
  </si>
  <si>
    <t>Joint Sealants</t>
  </si>
  <si>
    <t>Light Fixtures</t>
  </si>
  <si>
    <t>Dry Pipe System</t>
  </si>
  <si>
    <t>w/Mechanical Exhaust</t>
  </si>
  <si>
    <t>1200amp Service</t>
  </si>
  <si>
    <t>Battery Back-Ups for EOC &amp; Dispatch</t>
  </si>
  <si>
    <t>Level 2 Sound Enclosure</t>
  </si>
  <si>
    <t>Impact Resistant Sheetrock @ Corridors</t>
  </si>
  <si>
    <t>Bi-Folding Doors @ Rear Apparatus Bay in lieu of Coiling</t>
  </si>
  <si>
    <t>Retention Pond in lieu of Detention Pond</t>
  </si>
  <si>
    <t>Clay Liner</t>
  </si>
  <si>
    <t>Pump and Aerator</t>
  </si>
  <si>
    <t>Arched Gateways</t>
  </si>
  <si>
    <t>Bi-Fold Doors</t>
  </si>
  <si>
    <t>Finishes:</t>
  </si>
  <si>
    <t>Plumbing Isolation System</t>
  </si>
  <si>
    <t>Black Vinyl Chain Link in lieu of Ornamental Fencing</t>
  </si>
  <si>
    <t>Precast Screen Wall in lieu of Ornamental Fencing</t>
  </si>
  <si>
    <t>Chain Link</t>
  </si>
  <si>
    <t>Ornamental</t>
  </si>
  <si>
    <t>Precast Screen Wall</t>
  </si>
  <si>
    <t>Plaza Wall</t>
  </si>
  <si>
    <t>Hip Roof @ Fire</t>
  </si>
  <si>
    <t>Hip Roof @ Police</t>
  </si>
  <si>
    <t>Korbels</t>
  </si>
  <si>
    <t>TPO</t>
  </si>
  <si>
    <t>Remote Storage Building</t>
  </si>
  <si>
    <t>Face Brick to 10' Height w/Plaster above</t>
  </si>
  <si>
    <t>$425/sf</t>
  </si>
  <si>
    <t>Curved Roof @ Police Entrance</t>
  </si>
  <si>
    <t>Curved Standing Seam</t>
  </si>
  <si>
    <t xml:space="preserve">Cambered Steel </t>
  </si>
  <si>
    <t>Cast Stone</t>
  </si>
  <si>
    <t>Delete Outdoor Trellis</t>
  </si>
  <si>
    <t>Foundation</t>
  </si>
  <si>
    <t>Exterior Walls</t>
  </si>
  <si>
    <t>Doors</t>
  </si>
  <si>
    <t>Paint</t>
  </si>
  <si>
    <t>FTE %</t>
  </si>
  <si>
    <t>PUBLIC SAFETY COMPLEX</t>
  </si>
  <si>
    <t>VAN ALSTYNE, TX</t>
  </si>
  <si>
    <r>
      <t>ESCALATION CONTINGENCY</t>
    </r>
    <r>
      <rPr>
        <sz val="10"/>
        <color rgb="FFFF0000"/>
        <rFont val="Times New Roman"/>
        <family val="1"/>
      </rPr>
      <t xml:space="preserve"> (CURRENTLY INCLUDED IN SOFT COST)</t>
    </r>
  </si>
  <si>
    <t>VOID</t>
  </si>
  <si>
    <r>
      <rPr>
        <sz val="16"/>
        <rFont val="Calibri"/>
        <family val="2"/>
        <scheme val="minor"/>
      </rPr>
      <t xml:space="preserve">Project Advocates </t>
    </r>
    <r>
      <rPr>
        <sz val="10"/>
        <rFont val="Times New Roman"/>
        <family val="1"/>
      </rPr>
      <t xml:space="preserve">
</t>
    </r>
    <r>
      <rPr>
        <sz val="16"/>
        <rFont val="Calibri"/>
        <family val="2"/>
        <scheme val="minor"/>
      </rPr>
      <t xml:space="preserve">Conceptual Design - Detailed Estimate </t>
    </r>
  </si>
  <si>
    <t>GENERAL REQUIREMENTS (SEE DETAILED ESTIMATE)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</si>
</sst>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_(&quot;$&quot;* #,##0_);_(&quot;$&quot;* \(#,##0\);_(&quot;$&quot;* &quot;-&quot;??_);_(@_)"/>
    <numFmt numFmtId="168" formatCode="_(&quot;$&quot;* #,##0.00_);_(&quot;$&quot;* \(#,##0.00\);_(&quot;$&quot;* &quot;-&quot;_);_(@_)"/>
    <numFmt numFmtId="169" formatCode="0.0"/>
    <numFmt numFmtId="170" formatCode="[$-409]d\-mmm\-yyyy;@"/>
    <numFmt numFmtId="171" formatCode="[$-409]mmmm\ d\,\ yyyy;@"/>
    <numFmt numFmtId="172" formatCode="#,##0.0_);[Red]\(#,##0.0\)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SWISS"/>
    </font>
    <font>
      <sz val="10"/>
      <color rgb="FFFF0000"/>
      <name val="Arial"/>
      <family val="2"/>
    </font>
    <font>
      <sz val="11"/>
      <color theme="1"/>
      <name val="Univers"/>
      <family val="2"/>
    </font>
    <font>
      <b/>
      <sz val="11"/>
      <color theme="1"/>
      <name val="Univers"/>
      <family val="2"/>
    </font>
    <font>
      <b/>
      <u/>
      <sz val="11"/>
      <color theme="1"/>
      <name val="Univers"/>
      <family val="2"/>
    </font>
    <font>
      <b/>
      <u/>
      <sz val="10"/>
      <name val="Arial"/>
      <family val="2"/>
    </font>
    <font>
      <sz val="10"/>
      <name val="Geneva"/>
    </font>
    <font>
      <u/>
      <sz val="10"/>
      <color theme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Univers"/>
      <family val="2"/>
    </font>
    <font>
      <b/>
      <sz val="10"/>
      <color theme="3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u/>
      <sz val="10"/>
      <name val="Times New Roman"/>
      <family val="1"/>
    </font>
    <font>
      <u/>
      <sz val="10"/>
      <color theme="1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3" tint="-0.249977111117893"/>
      <name val="Times New Roman"/>
      <family val="1"/>
    </font>
    <font>
      <b/>
      <u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/>
      <sz val="11"/>
      <color theme="1"/>
      <name val="Times New Roman"/>
      <family val="1"/>
    </font>
    <font>
      <b/>
      <sz val="11"/>
      <color theme="4" tint="-0.249977111117893"/>
      <name val="Times New Roman"/>
      <family val="1"/>
    </font>
    <font>
      <strike/>
      <sz val="11"/>
      <color theme="1"/>
      <name val="Times New Roman"/>
      <family val="1"/>
    </font>
    <font>
      <sz val="11"/>
      <color rgb="FF0000FF"/>
      <name val="Times New Roman"/>
      <family val="1"/>
    </font>
    <font>
      <sz val="10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0"/>
      <name val="Times New Roman"/>
      <family val="1"/>
    </font>
    <font>
      <b/>
      <u/>
      <sz val="10"/>
      <color theme="1"/>
      <name val="Times New Roman"/>
      <family val="1"/>
    </font>
    <font>
      <b/>
      <sz val="10"/>
      <color theme="3" tint="-0.249977111117893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rgb="FFFF0000"/>
      <name val="Times New Roman"/>
      <family val="1"/>
    </font>
    <font>
      <sz val="16"/>
      <name val="Calibri"/>
      <family val="2"/>
      <scheme val="minor"/>
    </font>
    <font>
      <sz val="10"/>
      <name val="Times New Roman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/>
      <bottom/>
      <diagonal/>
    </border>
    <border>
      <left style="thick">
        <color theme="0" tint="-0.499984740745262"/>
      </left>
      <right style="thick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/>
      <bottom/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 style="thick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ck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thick">
        <color theme="0" tint="-0.34998626667073579"/>
      </left>
      <right/>
      <top style="medium">
        <color theme="0" tint="-0.34998626667073579"/>
      </top>
      <bottom style="thick">
        <color theme="0" tint="-0.34998626667073579"/>
      </bottom>
      <diagonal/>
    </border>
    <border>
      <left/>
      <right/>
      <top style="medium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medium">
        <color theme="0" tint="-0.34998626667073579"/>
      </top>
      <bottom style="thick">
        <color theme="0" tint="-0.34998626667073579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ck">
        <color theme="0" tint="-0.34998626667073579"/>
      </right>
      <top style="thin">
        <color indexed="64"/>
      </top>
      <bottom/>
      <diagonal/>
    </border>
    <border>
      <left/>
      <right style="thick">
        <color theme="0" tint="-0.34998626667073579"/>
      </right>
      <top/>
      <bottom style="medium">
        <color theme="0" tint="-0.34998626667073579"/>
      </bottom>
      <diagonal/>
    </border>
    <border>
      <left/>
      <right style="thick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medium">
        <color theme="0" tint="-0.34998626667073579"/>
      </bottom>
      <diagonal/>
    </border>
    <border>
      <left/>
      <right style="thick">
        <color theme="0" tint="-0.34998626667073579"/>
      </right>
      <top style="medium">
        <color theme="0" tint="-0.34998626667073579"/>
      </top>
      <bottom/>
      <diagonal/>
    </border>
    <border>
      <left style="thick">
        <color theme="0" tint="-0.499984740745262"/>
      </left>
      <right style="thin">
        <color auto="1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ck">
        <color theme="0" tint="-0.499984740745262"/>
      </left>
      <right style="thin">
        <color auto="1"/>
      </right>
      <top/>
      <bottom style="thick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auto="1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ck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ck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8" fontId="12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53" fillId="0" borderId="0"/>
    <xf numFmtId="44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5" fillId="0" borderId="0" applyFont="0" applyFill="0" applyBorder="0" applyAlignment="0" applyProtection="0"/>
  </cellStyleXfs>
  <cellXfs count="47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11" borderId="0" xfId="0" applyFill="1"/>
    <xf numFmtId="167" fontId="2" fillId="0" borderId="0" xfId="3" applyNumberFormat="1" applyFont="1"/>
    <xf numFmtId="167" fontId="2" fillId="0" borderId="0" xfId="3" applyNumberFormat="1" applyFont="1" applyAlignment="1">
      <alignment horizontal="center"/>
    </xf>
    <xf numFmtId="0" fontId="11" fillId="0" borderId="0" xfId="0" applyFont="1" applyAlignment="1">
      <alignment horizontal="center"/>
    </xf>
    <xf numFmtId="9" fontId="2" fillId="0" borderId="0" xfId="7" applyFont="1" applyAlignment="1">
      <alignment horizontal="center"/>
    </xf>
    <xf numFmtId="40" fontId="2" fillId="0" borderId="0" xfId="1" applyNumberFormat="1" applyFont="1" applyAlignment="1">
      <alignment horizontal="center"/>
    </xf>
    <xf numFmtId="40" fontId="11" fillId="0" borderId="0" xfId="1" applyNumberFormat="1" applyFont="1" applyAlignment="1">
      <alignment horizontal="center"/>
    </xf>
    <xf numFmtId="167" fontId="11" fillId="0" borderId="0" xfId="3" applyNumberFormat="1" applyFont="1" applyAlignment="1">
      <alignment horizontal="center"/>
    </xf>
    <xf numFmtId="0" fontId="2" fillId="11" borderId="0" xfId="0" applyFont="1" applyFill="1"/>
    <xf numFmtId="0" fontId="3" fillId="11" borderId="0" xfId="0" applyFont="1" applyFill="1"/>
    <xf numFmtId="169" fontId="2" fillId="0" borderId="0" xfId="0" applyNumberFormat="1" applyFont="1"/>
    <xf numFmtId="0" fontId="11" fillId="0" borderId="36" xfId="0" applyFont="1" applyBorder="1"/>
    <xf numFmtId="0" fontId="2" fillId="0" borderId="36" xfId="0" applyFont="1" applyBorder="1"/>
    <xf numFmtId="0" fontId="2" fillId="0" borderId="36" xfId="0" applyFont="1" applyBorder="1" applyAlignment="1">
      <alignment horizontal="center"/>
    </xf>
    <xf numFmtId="40" fontId="2" fillId="0" borderId="36" xfId="1" applyNumberFormat="1" applyFont="1" applyBorder="1" applyAlignment="1">
      <alignment horizontal="center"/>
    </xf>
    <xf numFmtId="167" fontId="2" fillId="0" borderId="36" xfId="3" applyNumberFormat="1" applyFont="1" applyBorder="1" applyAlignment="1">
      <alignment horizontal="center"/>
    </xf>
    <xf numFmtId="0" fontId="3" fillId="0" borderId="37" xfId="0" applyFont="1" applyBorder="1"/>
    <xf numFmtId="0" fontId="3" fillId="0" borderId="37" xfId="0" applyFont="1" applyBorder="1" applyAlignment="1">
      <alignment horizontal="center"/>
    </xf>
    <xf numFmtId="40" fontId="3" fillId="0" borderId="37" xfId="1" applyNumberFormat="1" applyFont="1" applyBorder="1" applyAlignment="1">
      <alignment horizontal="center"/>
    </xf>
    <xf numFmtId="167" fontId="3" fillId="0" borderId="37" xfId="3" applyNumberFormat="1" applyFont="1" applyBorder="1"/>
    <xf numFmtId="167" fontId="3" fillId="0" borderId="37" xfId="3" applyNumberFormat="1" applyFont="1" applyBorder="1" applyAlignment="1">
      <alignment horizontal="center"/>
    </xf>
    <xf numFmtId="0" fontId="3" fillId="0" borderId="37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3" fillId="0" borderId="37" xfId="0" applyFont="1" applyBorder="1" applyAlignment="1">
      <alignment horizontal="left"/>
    </xf>
    <xf numFmtId="0" fontId="11" fillId="0" borderId="0" xfId="0" applyFont="1"/>
    <xf numFmtId="0" fontId="15" fillId="0" borderId="0" xfId="0" applyFont="1"/>
    <xf numFmtId="9" fontId="2" fillId="0" borderId="0" xfId="0" applyNumberFormat="1" applyFont="1" applyAlignment="1">
      <alignment horizontal="center"/>
    </xf>
    <xf numFmtId="0" fontId="7" fillId="0" borderId="0" xfId="0" applyFont="1"/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2" borderId="30" xfId="0" applyFill="1" applyBorder="1"/>
    <xf numFmtId="0" fontId="0" fillId="2" borderId="38" xfId="0" applyFill="1" applyBorder="1"/>
    <xf numFmtId="0" fontId="0" fillId="0" borderId="5" xfId="0" applyBorder="1"/>
    <xf numFmtId="0" fontId="0" fillId="0" borderId="41" xfId="0" applyBorder="1"/>
    <xf numFmtId="0" fontId="0" fillId="0" borderId="4" xfId="0" applyBorder="1"/>
    <xf numFmtId="0" fontId="2" fillId="0" borderId="0" xfId="13" applyAlignment="1">
      <alignment horizontal="left"/>
    </xf>
    <xf numFmtId="0" fontId="2" fillId="0" borderId="42" xfId="0" applyFont="1" applyBorder="1"/>
    <xf numFmtId="0" fontId="2" fillId="0" borderId="42" xfId="0" applyFont="1" applyBorder="1" applyAlignment="1">
      <alignment horizontal="center"/>
    </xf>
    <xf numFmtId="40" fontId="2" fillId="0" borderId="42" xfId="1" applyNumberFormat="1" applyFont="1" applyBorder="1" applyAlignment="1">
      <alignment horizontal="center"/>
    </xf>
    <xf numFmtId="167" fontId="2" fillId="0" borderId="42" xfId="3" applyNumberFormat="1" applyFont="1" applyBorder="1" applyAlignment="1">
      <alignment horizontal="center"/>
    </xf>
    <xf numFmtId="0" fontId="16" fillId="0" borderId="0" xfId="0" applyFont="1"/>
    <xf numFmtId="0" fontId="3" fillId="0" borderId="0" xfId="0" applyFont="1" applyAlignment="1">
      <alignment horizontal="left"/>
    </xf>
    <xf numFmtId="0" fontId="0" fillId="2" borderId="29" xfId="0" applyFill="1" applyBorder="1" applyAlignment="1">
      <alignment horizontal="center"/>
    </xf>
    <xf numFmtId="0" fontId="0" fillId="0" borderId="5" xfId="0" applyBorder="1" applyAlignment="1">
      <alignment horizontal="center"/>
    </xf>
    <xf numFmtId="167" fontId="0" fillId="10" borderId="5" xfId="3" applyNumberFormat="1" applyFont="1" applyFill="1" applyBorder="1"/>
    <xf numFmtId="167" fontId="0" fillId="8" borderId="5" xfId="3" applyNumberFormat="1" applyFont="1" applyFill="1" applyBorder="1"/>
    <xf numFmtId="0" fontId="0" fillId="0" borderId="42" xfId="0" applyBorder="1" applyAlignment="1">
      <alignment horizontal="center"/>
    </xf>
    <xf numFmtId="0" fontId="0" fillId="0" borderId="42" xfId="0" applyBorder="1"/>
    <xf numFmtId="0" fontId="2" fillId="0" borderId="48" xfId="0" applyFont="1" applyBorder="1" applyAlignment="1">
      <alignment horizontal="center"/>
    </xf>
    <xf numFmtId="0" fontId="2" fillId="0" borderId="49" xfId="0" applyFont="1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2" xfId="0" applyBorder="1"/>
    <xf numFmtId="0" fontId="0" fillId="0" borderId="53" xfId="0" applyBorder="1" applyAlignment="1">
      <alignment horizontal="center"/>
    </xf>
    <xf numFmtId="0" fontId="2" fillId="0" borderId="4" xfId="0" applyFont="1" applyBorder="1"/>
    <xf numFmtId="44" fontId="0" fillId="0" borderId="0" xfId="3" applyFont="1" applyBorder="1"/>
    <xf numFmtId="0" fontId="17" fillId="2" borderId="56" xfId="0" applyFont="1" applyFill="1" applyBorder="1" applyAlignment="1">
      <alignment horizontal="center"/>
    </xf>
    <xf numFmtId="0" fontId="17" fillId="2" borderId="57" xfId="0" applyFont="1" applyFill="1" applyBorder="1"/>
    <xf numFmtId="0" fontId="17" fillId="2" borderId="58" xfId="0" applyFont="1" applyFill="1" applyBorder="1"/>
    <xf numFmtId="166" fontId="0" fillId="0" borderId="0" xfId="7" applyNumberFormat="1" applyFont="1" applyBorder="1" applyAlignment="1">
      <alignment horizontal="center"/>
    </xf>
    <xf numFmtId="10" fontId="0" fillId="0" borderId="0" xfId="7" applyNumberFormat="1" applyFont="1" applyBorder="1" applyAlignment="1">
      <alignment horizontal="center"/>
    </xf>
    <xf numFmtId="0" fontId="17" fillId="2" borderId="60" xfId="0" applyFont="1" applyFill="1" applyBorder="1" applyAlignment="1">
      <alignment horizontal="center"/>
    </xf>
    <xf numFmtId="0" fontId="17" fillId="2" borderId="61" xfId="0" applyFont="1" applyFill="1" applyBorder="1"/>
    <xf numFmtId="0" fontId="17" fillId="2" borderId="62" xfId="0" applyFont="1" applyFill="1" applyBorder="1"/>
    <xf numFmtId="0" fontId="13" fillId="0" borderId="0" xfId="11"/>
    <xf numFmtId="0" fontId="13" fillId="0" borderId="0" xfId="11" applyAlignment="1">
      <alignment horizontal="center"/>
    </xf>
    <xf numFmtId="166" fontId="0" fillId="0" borderId="64" xfId="7" applyNumberFormat="1" applyFont="1" applyBorder="1" applyAlignment="1">
      <alignment horizontal="center"/>
    </xf>
    <xf numFmtId="166" fontId="0" fillId="0" borderId="65" xfId="7" applyNumberFormat="1" applyFont="1" applyBorder="1" applyAlignment="1">
      <alignment horizontal="center"/>
    </xf>
    <xf numFmtId="166" fontId="0" fillId="9" borderId="70" xfId="7" applyNumberFormat="1" applyFont="1" applyFill="1" applyBorder="1" applyAlignment="1">
      <alignment horizontal="center"/>
    </xf>
    <xf numFmtId="167" fontId="17" fillId="2" borderId="57" xfId="3" applyNumberFormat="1" applyFont="1" applyFill="1" applyBorder="1" applyAlignment="1"/>
    <xf numFmtId="167" fontId="17" fillId="2" borderId="61" xfId="3" applyNumberFormat="1" applyFont="1" applyFill="1" applyBorder="1" applyAlignment="1"/>
    <xf numFmtId="167" fontId="3" fillId="0" borderId="0" xfId="3" applyNumberFormat="1" applyFont="1" applyAlignment="1">
      <alignment horizontal="center"/>
    </xf>
    <xf numFmtId="0" fontId="18" fillId="0" borderId="0" xfId="0" applyFont="1"/>
    <xf numFmtId="167" fontId="20" fillId="0" borderId="0" xfId="3" applyNumberFormat="1" applyFont="1" applyFill="1" applyAlignment="1"/>
    <xf numFmtId="167" fontId="20" fillId="0" borderId="0" xfId="3" applyNumberFormat="1" applyFont="1" applyFill="1" applyAlignment="1">
      <alignment horizontal="center"/>
    </xf>
    <xf numFmtId="167" fontId="20" fillId="0" borderId="0" xfId="3" applyNumberFormat="1" applyFont="1" applyAlignment="1">
      <alignment horizontal="center"/>
    </xf>
    <xf numFmtId="167" fontId="19" fillId="0" borderId="0" xfId="3" applyNumberFormat="1" applyFont="1" applyFill="1"/>
    <xf numFmtId="167" fontId="19" fillId="0" borderId="0" xfId="3" applyNumberFormat="1" applyFont="1"/>
    <xf numFmtId="0" fontId="21" fillId="0" borderId="0" xfId="0" applyFont="1"/>
    <xf numFmtId="0" fontId="21" fillId="0" borderId="0" xfId="0" applyFont="1" applyAlignment="1">
      <alignment horizontal="center"/>
    </xf>
    <xf numFmtId="167" fontId="18" fillId="0" borderId="0" xfId="3" applyNumberFormat="1" applyFont="1"/>
    <xf numFmtId="0" fontId="22" fillId="0" borderId="0" xfId="0" applyFont="1" applyAlignment="1">
      <alignment horizontal="center"/>
    </xf>
    <xf numFmtId="167" fontId="23" fillId="0" borderId="0" xfId="3" applyNumberFormat="1" applyFont="1" applyAlignment="1" applyProtection="1">
      <alignment horizontal="center"/>
    </xf>
    <xf numFmtId="0" fontId="24" fillId="0" borderId="0" xfId="0" applyFont="1"/>
    <xf numFmtId="0" fontId="18" fillId="0" borderId="0" xfId="0" applyFont="1" applyAlignment="1">
      <alignment horizontal="center"/>
    </xf>
    <xf numFmtId="167" fontId="21" fillId="5" borderId="26" xfId="3" applyNumberFormat="1" applyFont="1" applyFill="1" applyBorder="1"/>
    <xf numFmtId="164" fontId="21" fillId="5" borderId="34" xfId="1" applyNumberFormat="1" applyFont="1" applyFill="1" applyBorder="1"/>
    <xf numFmtId="164" fontId="21" fillId="5" borderId="34" xfId="1" applyNumberFormat="1" applyFont="1" applyFill="1" applyBorder="1" applyAlignment="1">
      <alignment horizontal="center"/>
    </xf>
    <xf numFmtId="0" fontId="27" fillId="0" borderId="0" xfId="0" applyFont="1"/>
    <xf numFmtId="166" fontId="18" fillId="0" borderId="0" xfId="0" applyNumberFormat="1" applyFont="1"/>
    <xf numFmtId="166" fontId="27" fillId="0" borderId="0" xfId="7" applyNumberFormat="1" applyFont="1"/>
    <xf numFmtId="167" fontId="21" fillId="5" borderId="27" xfId="3" applyNumberFormat="1" applyFont="1" applyFill="1" applyBorder="1" applyAlignment="1">
      <alignment horizontal="center"/>
    </xf>
    <xf numFmtId="164" fontId="21" fillId="5" borderId="35" xfId="1" applyNumberFormat="1" applyFont="1" applyFill="1" applyBorder="1" applyAlignment="1">
      <alignment horizontal="left"/>
    </xf>
    <xf numFmtId="44" fontId="18" fillId="0" borderId="0" xfId="3" applyFont="1"/>
    <xf numFmtId="167" fontId="22" fillId="0" borderId="73" xfId="3" applyNumberFormat="1" applyFont="1" applyBorder="1" applyAlignment="1">
      <alignment horizontal="center"/>
    </xf>
    <xf numFmtId="167" fontId="22" fillId="0" borderId="74" xfId="3" applyNumberFormat="1" applyFont="1" applyBorder="1" applyAlignment="1">
      <alignment horizontal="center"/>
    </xf>
    <xf numFmtId="167" fontId="24" fillId="2" borderId="76" xfId="3" applyNumberFormat="1" applyFont="1" applyFill="1" applyBorder="1"/>
    <xf numFmtId="167" fontId="24" fillId="2" borderId="77" xfId="3" applyNumberFormat="1" applyFont="1" applyFill="1" applyBorder="1"/>
    <xf numFmtId="167" fontId="25" fillId="0" borderId="76" xfId="3" applyNumberFormat="1" applyFont="1" applyFill="1" applyBorder="1"/>
    <xf numFmtId="167" fontId="18" fillId="0" borderId="76" xfId="3" applyNumberFormat="1" applyFont="1" applyFill="1" applyBorder="1"/>
    <xf numFmtId="167" fontId="18" fillId="0" borderId="77" xfId="3" applyNumberFormat="1" applyFont="1" applyFill="1" applyBorder="1"/>
    <xf numFmtId="0" fontId="18" fillId="0" borderId="76" xfId="0" applyFont="1" applyBorder="1" applyAlignment="1">
      <alignment horizontal="left" indent="1"/>
    </xf>
    <xf numFmtId="167" fontId="25" fillId="0" borderId="77" xfId="3" applyNumberFormat="1" applyFont="1" applyFill="1" applyBorder="1"/>
    <xf numFmtId="167" fontId="26" fillId="2" borderId="76" xfId="3" applyNumberFormat="1" applyFont="1" applyFill="1" applyBorder="1"/>
    <xf numFmtId="167" fontId="25" fillId="2" borderId="76" xfId="3" applyNumberFormat="1" applyFont="1" applyFill="1" applyBorder="1"/>
    <xf numFmtId="167" fontId="21" fillId="2" borderId="76" xfId="3" applyNumberFormat="1" applyFont="1" applyFill="1" applyBorder="1"/>
    <xf numFmtId="167" fontId="18" fillId="2" borderId="76" xfId="3" applyNumberFormat="1" applyFont="1" applyFill="1" applyBorder="1"/>
    <xf numFmtId="167" fontId="18" fillId="2" borderId="77" xfId="3" applyNumberFormat="1" applyFont="1" applyFill="1" applyBorder="1"/>
    <xf numFmtId="167" fontId="25" fillId="0" borderId="83" xfId="3" applyNumberFormat="1" applyFont="1" applyFill="1" applyBorder="1"/>
    <xf numFmtId="167" fontId="18" fillId="0" borderId="83" xfId="3" applyNumberFormat="1" applyFont="1" applyFill="1" applyBorder="1"/>
    <xf numFmtId="167" fontId="18" fillId="0" borderId="84" xfId="3" applyNumberFormat="1" applyFont="1" applyFill="1" applyBorder="1"/>
    <xf numFmtId="167" fontId="28" fillId="2" borderId="1" xfId="3" applyNumberFormat="1" applyFont="1" applyFill="1" applyBorder="1"/>
    <xf numFmtId="167" fontId="28" fillId="2" borderId="79" xfId="3" applyNumberFormat="1" applyFont="1" applyFill="1" applyBorder="1"/>
    <xf numFmtId="167" fontId="25" fillId="0" borderId="84" xfId="3" applyNumberFormat="1" applyFont="1" applyFill="1" applyBorder="1"/>
    <xf numFmtId="44" fontId="25" fillId="0" borderId="83" xfId="3" applyFont="1" applyFill="1" applyBorder="1"/>
    <xf numFmtId="44" fontId="25" fillId="0" borderId="84" xfId="3" applyFont="1" applyFill="1" applyBorder="1"/>
    <xf numFmtId="49" fontId="25" fillId="0" borderId="75" xfId="0" quotePrefix="1" applyNumberFormat="1" applyFont="1" applyBorder="1" applyAlignment="1">
      <alignment horizontal="center"/>
    </xf>
    <xf numFmtId="49" fontId="25" fillId="0" borderId="75" xfId="0" applyNumberFormat="1" applyFont="1" applyBorder="1" applyAlignment="1">
      <alignment horizontal="center"/>
    </xf>
    <xf numFmtId="10" fontId="2" fillId="0" borderId="0" xfId="7" applyNumberFormat="1" applyFont="1" applyFill="1"/>
    <xf numFmtId="167" fontId="2" fillId="0" borderId="0" xfId="3" applyNumberFormat="1" applyFont="1" applyFill="1"/>
    <xf numFmtId="0" fontId="29" fillId="0" borderId="0" xfId="0" applyFont="1" applyAlignment="1">
      <alignment horizontal="center"/>
    </xf>
    <xf numFmtId="0" fontId="29" fillId="11" borderId="0" xfId="0" applyFont="1" applyFill="1"/>
    <xf numFmtId="0" fontId="29" fillId="0" borderId="0" xfId="0" applyFont="1"/>
    <xf numFmtId="0" fontId="30" fillId="0" borderId="0" xfId="0" applyFont="1" applyAlignment="1">
      <alignment horizontal="center"/>
    </xf>
    <xf numFmtId="0" fontId="31" fillId="7" borderId="24" xfId="11" applyNumberFormat="1" applyFont="1" applyFill="1" applyBorder="1" applyAlignment="1">
      <alignment horizontal="center"/>
    </xf>
    <xf numFmtId="0" fontId="31" fillId="7" borderId="0" xfId="11" applyFont="1" applyFill="1" applyAlignment="1">
      <alignment horizontal="center"/>
    </xf>
    <xf numFmtId="0" fontId="31" fillId="7" borderId="8" xfId="11" applyFont="1" applyFill="1" applyBorder="1" applyAlignment="1">
      <alignment horizontal="center"/>
    </xf>
    <xf numFmtId="0" fontId="31" fillId="0" borderId="0" xfId="11" applyFont="1" applyFill="1" applyBorder="1" applyAlignment="1">
      <alignment horizontal="center"/>
    </xf>
    <xf numFmtId="0" fontId="31" fillId="7" borderId="22" xfId="11" applyFont="1" applyFill="1" applyBorder="1" applyAlignment="1">
      <alignment horizontal="center"/>
    </xf>
    <xf numFmtId="0" fontId="31" fillId="7" borderId="0" xfId="11" applyFont="1" applyFill="1" applyBorder="1" applyAlignment="1">
      <alignment horizontal="center"/>
    </xf>
    <xf numFmtId="0" fontId="31" fillId="7" borderId="23" xfId="11" applyFont="1" applyFill="1" applyBorder="1" applyAlignment="1">
      <alignment horizontal="center"/>
    </xf>
    <xf numFmtId="0" fontId="31" fillId="7" borderId="22" xfId="11" applyNumberFormat="1" applyFont="1" applyFill="1" applyBorder="1" applyAlignment="1">
      <alignment horizontal="center"/>
    </xf>
    <xf numFmtId="0" fontId="31" fillId="7" borderId="2" xfId="11" applyNumberFormat="1" applyFont="1" applyFill="1" applyBorder="1" applyAlignment="1">
      <alignment horizontal="center"/>
    </xf>
    <xf numFmtId="0" fontId="31" fillId="7" borderId="28" xfId="11" applyFont="1" applyFill="1" applyBorder="1" applyAlignment="1">
      <alignment horizontal="center"/>
    </xf>
    <xf numFmtId="0" fontId="31" fillId="7" borderId="3" xfId="11" applyFont="1" applyFill="1" applyBorder="1" applyAlignment="1">
      <alignment horizontal="center"/>
    </xf>
    <xf numFmtId="0" fontId="32" fillId="3" borderId="0" xfId="0" applyFont="1" applyFill="1"/>
    <xf numFmtId="0" fontId="32" fillId="11" borderId="0" xfId="0" applyFont="1" applyFill="1"/>
    <xf numFmtId="3" fontId="32" fillId="3" borderId="0" xfId="0" applyNumberFormat="1" applyFont="1" applyFill="1" applyAlignment="1">
      <alignment horizontal="center"/>
    </xf>
    <xf numFmtId="0" fontId="32" fillId="3" borderId="0" xfId="0" applyFont="1" applyFill="1" applyAlignment="1">
      <alignment horizontal="center"/>
    </xf>
    <xf numFmtId="44" fontId="32" fillId="3" borderId="0" xfId="3" applyFont="1" applyFill="1"/>
    <xf numFmtId="167" fontId="32" fillId="3" borderId="0" xfId="0" applyNumberFormat="1" applyFont="1" applyFill="1" applyAlignment="1">
      <alignment horizontal="center"/>
    </xf>
    <xf numFmtId="167" fontId="32" fillId="3" borderId="0" xfId="0" applyNumberFormat="1" applyFont="1" applyFill="1"/>
    <xf numFmtId="0" fontId="33" fillId="0" borderId="0" xfId="0" applyFont="1"/>
    <xf numFmtId="0" fontId="33" fillId="11" borderId="0" xfId="0" applyFont="1" applyFill="1"/>
    <xf numFmtId="3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44" fontId="33" fillId="0" borderId="0" xfId="3" applyFont="1"/>
    <xf numFmtId="167" fontId="32" fillId="0" borderId="0" xfId="0" applyNumberFormat="1" applyFont="1" applyAlignment="1">
      <alignment horizontal="center"/>
    </xf>
    <xf numFmtId="167" fontId="33" fillId="0" borderId="0" xfId="0" applyNumberFormat="1" applyFont="1"/>
    <xf numFmtId="0" fontId="34" fillId="2" borderId="0" xfId="0" quotePrefix="1" applyFont="1" applyFill="1" applyProtection="1">
      <protection locked="0"/>
    </xf>
    <xf numFmtId="49" fontId="34" fillId="2" borderId="0" xfId="0" quotePrefix="1" applyNumberFormat="1" applyFont="1" applyFill="1" applyProtection="1">
      <protection locked="0"/>
    </xf>
    <xf numFmtId="0" fontId="34" fillId="2" borderId="0" xfId="0" applyFont="1" applyFill="1"/>
    <xf numFmtId="3" fontId="33" fillId="2" borderId="0" xfId="0" applyNumberFormat="1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44" fontId="33" fillId="2" borderId="0" xfId="3" applyFont="1" applyFill="1"/>
    <xf numFmtId="167" fontId="32" fillId="2" borderId="0" xfId="0" applyNumberFormat="1" applyFont="1" applyFill="1" applyAlignment="1">
      <alignment horizontal="center"/>
    </xf>
    <xf numFmtId="0" fontId="34" fillId="2" borderId="0" xfId="0" quotePrefix="1" applyFont="1" applyFill="1"/>
    <xf numFmtId="49" fontId="34" fillId="2" borderId="0" xfId="0" quotePrefix="1" applyNumberFormat="1" applyFont="1" applyFill="1"/>
    <xf numFmtId="0" fontId="35" fillId="11" borderId="0" xfId="0" applyFont="1" applyFill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3" fontId="35" fillId="0" borderId="9" xfId="0" applyNumberFormat="1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44" fontId="35" fillId="0" borderId="9" xfId="3" applyFont="1" applyBorder="1" applyAlignment="1">
      <alignment horizontal="center"/>
    </xf>
    <xf numFmtId="167" fontId="35" fillId="3" borderId="9" xfId="0" applyNumberFormat="1" applyFont="1" applyFill="1" applyBorder="1" applyAlignment="1">
      <alignment horizontal="center"/>
    </xf>
    <xf numFmtId="167" fontId="35" fillId="0" borderId="0" xfId="0" applyNumberFormat="1" applyFont="1" applyAlignment="1">
      <alignment horizontal="center"/>
    </xf>
    <xf numFmtId="0" fontId="33" fillId="2" borderId="10" xfId="0" applyFont="1" applyFill="1" applyBorder="1"/>
    <xf numFmtId="0" fontId="33" fillId="2" borderId="11" xfId="0" applyFont="1" applyFill="1" applyBorder="1"/>
    <xf numFmtId="0" fontId="33" fillId="2" borderId="12" xfId="0" applyFont="1" applyFill="1" applyBorder="1"/>
    <xf numFmtId="3" fontId="33" fillId="2" borderId="9" xfId="0" applyNumberFormat="1" applyFont="1" applyFill="1" applyBorder="1" applyAlignment="1">
      <alignment horizontal="center"/>
    </xf>
    <xf numFmtId="0" fontId="33" fillId="2" borderId="9" xfId="0" applyFont="1" applyFill="1" applyBorder="1" applyAlignment="1">
      <alignment horizontal="center"/>
    </xf>
    <xf numFmtId="44" fontId="33" fillId="2" borderId="9" xfId="3" applyFont="1" applyFill="1" applyBorder="1"/>
    <xf numFmtId="167" fontId="32" fillId="2" borderId="9" xfId="0" applyNumberFormat="1" applyFont="1" applyFill="1" applyBorder="1" applyAlignment="1">
      <alignment horizontal="center"/>
    </xf>
    <xf numFmtId="0" fontId="32" fillId="0" borderId="16" xfId="0" applyFont="1" applyBorder="1"/>
    <xf numFmtId="0" fontId="32" fillId="0" borderId="17" xfId="0" applyFont="1" applyBorder="1"/>
    <xf numFmtId="0" fontId="32" fillId="0" borderId="18" xfId="0" applyFont="1" applyBorder="1"/>
    <xf numFmtId="3" fontId="32" fillId="0" borderId="15" xfId="0" applyNumberFormat="1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3" fillId="0" borderId="19" xfId="0" applyFont="1" applyBorder="1"/>
    <xf numFmtId="0" fontId="33" fillId="0" borderId="20" xfId="0" applyFont="1" applyBorder="1"/>
    <xf numFmtId="0" fontId="33" fillId="0" borderId="21" xfId="0" applyFont="1" applyBorder="1"/>
    <xf numFmtId="3" fontId="33" fillId="0" borderId="14" xfId="0" applyNumberFormat="1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0" xfId="0" applyFont="1" applyBorder="1"/>
    <xf numFmtId="0" fontId="33" fillId="0" borderId="11" xfId="0" applyFont="1" applyBorder="1"/>
    <xf numFmtId="0" fontId="33" fillId="0" borderId="12" xfId="0" applyFont="1" applyBorder="1"/>
    <xf numFmtId="3" fontId="33" fillId="0" borderId="9" xfId="0" applyNumberFormat="1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42" fontId="33" fillId="0" borderId="9" xfId="3" applyNumberFormat="1" applyFont="1" applyFill="1" applyBorder="1"/>
    <xf numFmtId="0" fontId="32" fillId="0" borderId="10" xfId="0" applyFont="1" applyBorder="1"/>
    <xf numFmtId="0" fontId="33" fillId="0" borderId="10" xfId="0" applyFont="1" applyBorder="1" applyAlignment="1">
      <alignment horizontal="left" indent="1"/>
    </xf>
    <xf numFmtId="168" fontId="33" fillId="0" borderId="9" xfId="3" applyNumberFormat="1" applyFont="1" applyFill="1" applyBorder="1"/>
    <xf numFmtId="0" fontId="33" fillId="0" borderId="11" xfId="0" applyFont="1" applyBorder="1" applyAlignment="1">
      <alignment horizontal="center"/>
    </xf>
    <xf numFmtId="3" fontId="33" fillId="9" borderId="9" xfId="0" applyNumberFormat="1" applyFont="1" applyFill="1" applyBorder="1" applyAlignment="1">
      <alignment horizontal="center"/>
    </xf>
    <xf numFmtId="0" fontId="33" fillId="9" borderId="10" xfId="0" applyFont="1" applyFill="1" applyBorder="1" applyAlignment="1">
      <alignment horizontal="left" indent="1"/>
    </xf>
    <xf numFmtId="0" fontId="33" fillId="9" borderId="11" xfId="0" applyFont="1" applyFill="1" applyBorder="1"/>
    <xf numFmtId="0" fontId="33" fillId="9" borderId="12" xfId="0" applyFont="1" applyFill="1" applyBorder="1"/>
    <xf numFmtId="0" fontId="33" fillId="9" borderId="9" xfId="0" applyFont="1" applyFill="1" applyBorder="1" applyAlignment="1">
      <alignment horizontal="center"/>
    </xf>
    <xf numFmtId="42" fontId="33" fillId="9" borderId="9" xfId="3" applyNumberFormat="1" applyFont="1" applyFill="1" applyBorder="1"/>
    <xf numFmtId="42" fontId="33" fillId="2" borderId="9" xfId="3" applyNumberFormat="1" applyFont="1" applyFill="1" applyBorder="1"/>
    <xf numFmtId="42" fontId="33" fillId="0" borderId="9" xfId="3" applyNumberFormat="1" applyFont="1" applyBorder="1"/>
    <xf numFmtId="167" fontId="32" fillId="3" borderId="9" xfId="0" applyNumberFormat="1" applyFont="1" applyFill="1" applyBorder="1" applyAlignment="1">
      <alignment horizontal="center"/>
    </xf>
    <xf numFmtId="0" fontId="33" fillId="0" borderId="10" xfId="0" applyFont="1" applyBorder="1" applyAlignment="1">
      <alignment horizontal="left"/>
    </xf>
    <xf numFmtId="0" fontId="32" fillId="3" borderId="0" xfId="0" quotePrefix="1" applyFont="1" applyFill="1"/>
    <xf numFmtId="0" fontId="35" fillId="0" borderId="10" xfId="0" applyFont="1" applyBorder="1"/>
    <xf numFmtId="0" fontId="33" fillId="0" borderId="10" xfId="0" applyFont="1" applyBorder="1" applyAlignment="1">
      <alignment horizontal="left" indent="2"/>
    </xf>
    <xf numFmtId="0" fontId="33" fillId="0" borderId="12" xfId="0" applyFont="1" applyBorder="1" applyAlignment="1">
      <alignment horizontal="right"/>
    </xf>
    <xf numFmtId="44" fontId="32" fillId="0" borderId="15" xfId="3" applyFont="1" applyBorder="1"/>
    <xf numFmtId="167" fontId="32" fillId="3" borderId="15" xfId="0" applyNumberFormat="1" applyFont="1" applyFill="1" applyBorder="1" applyAlignment="1">
      <alignment horizontal="center"/>
    </xf>
    <xf numFmtId="44" fontId="33" fillId="0" borderId="9" xfId="3" applyFont="1" applyFill="1" applyBorder="1"/>
    <xf numFmtId="0" fontId="33" fillId="0" borderId="19" xfId="0" applyFont="1" applyBorder="1" applyAlignment="1">
      <alignment horizontal="right"/>
    </xf>
    <xf numFmtId="0" fontId="33" fillId="0" borderId="20" xfId="0" applyFont="1" applyBorder="1" applyAlignment="1">
      <alignment horizontal="right"/>
    </xf>
    <xf numFmtId="44" fontId="33" fillId="0" borderId="14" xfId="3" applyFont="1" applyBorder="1"/>
    <xf numFmtId="167" fontId="32" fillId="3" borderId="14" xfId="0" applyNumberFormat="1" applyFont="1" applyFill="1" applyBorder="1" applyAlignment="1">
      <alignment horizontal="center"/>
    </xf>
    <xf numFmtId="0" fontId="33" fillId="0" borderId="11" xfId="0" applyFont="1" applyBorder="1" applyAlignment="1">
      <alignment horizontal="right"/>
    </xf>
    <xf numFmtId="4" fontId="33" fillId="0" borderId="9" xfId="0" applyNumberFormat="1" applyFont="1" applyBorder="1" applyAlignment="1">
      <alignment horizontal="center"/>
    </xf>
    <xf numFmtId="0" fontId="37" fillId="11" borderId="0" xfId="0" applyFont="1" applyFill="1"/>
    <xf numFmtId="0" fontId="37" fillId="0" borderId="10" xfId="0" applyFont="1" applyBorder="1" applyAlignment="1">
      <alignment horizontal="left" indent="1"/>
    </xf>
    <xf numFmtId="0" fontId="37" fillId="0" borderId="11" xfId="0" applyFont="1" applyBorder="1"/>
    <xf numFmtId="0" fontId="37" fillId="0" borderId="12" xfId="0" applyFont="1" applyBorder="1"/>
    <xf numFmtId="3" fontId="37" fillId="0" borderId="9" xfId="0" applyNumberFormat="1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44" fontId="37" fillId="0" borderId="9" xfId="3" applyFont="1" applyFill="1" applyBorder="1"/>
    <xf numFmtId="167" fontId="38" fillId="3" borderId="9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left" indent="2"/>
    </xf>
    <xf numFmtId="0" fontId="37" fillId="0" borderId="9" xfId="0" applyFont="1" applyBorder="1" applyAlignment="1">
      <alignment horizontal="center"/>
    </xf>
    <xf numFmtId="164" fontId="33" fillId="0" borderId="11" xfId="1" applyNumberFormat="1" applyFont="1" applyFill="1" applyBorder="1"/>
    <xf numFmtId="9" fontId="33" fillId="0" borderId="12" xfId="7" applyFont="1" applyFill="1" applyBorder="1"/>
    <xf numFmtId="0" fontId="32" fillId="0" borderId="11" xfId="0" applyFont="1" applyBorder="1"/>
    <xf numFmtId="0" fontId="32" fillId="0" borderId="12" xfId="0" applyFont="1" applyBorder="1"/>
    <xf numFmtId="3" fontId="32" fillId="0" borderId="9" xfId="0" applyNumberFormat="1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44" fontId="32" fillId="0" borderId="9" xfId="3" applyFont="1" applyBorder="1"/>
    <xf numFmtId="44" fontId="33" fillId="0" borderId="9" xfId="3" applyFont="1" applyBorder="1"/>
    <xf numFmtId="0" fontId="32" fillId="0" borderId="10" xfId="0" applyFont="1" applyBorder="1" applyAlignment="1">
      <alignment horizontal="left" indent="1"/>
    </xf>
    <xf numFmtId="0" fontId="33" fillId="9" borderId="10" xfId="0" applyFont="1" applyFill="1" applyBorder="1" applyAlignment="1">
      <alignment horizontal="left" indent="2"/>
    </xf>
    <xf numFmtId="167" fontId="33" fillId="9" borderId="11" xfId="3" applyNumberFormat="1" applyFont="1" applyFill="1" applyBorder="1"/>
    <xf numFmtId="44" fontId="33" fillId="9" borderId="9" xfId="3" applyFont="1" applyFill="1" applyBorder="1"/>
    <xf numFmtId="0" fontId="33" fillId="9" borderId="10" xfId="0" applyFont="1" applyFill="1" applyBorder="1" applyAlignment="1">
      <alignment horizontal="left" indent="3"/>
    </xf>
    <xf numFmtId="167" fontId="33" fillId="0" borderId="11" xfId="3" applyNumberFormat="1" applyFont="1" applyFill="1" applyBorder="1"/>
    <xf numFmtId="44" fontId="33" fillId="0" borderId="14" xfId="3" applyFont="1" applyFill="1" applyBorder="1"/>
    <xf numFmtId="0" fontId="35" fillId="0" borderId="10" xfId="0" applyFont="1" applyBorder="1" applyAlignment="1">
      <alignment horizontal="left"/>
    </xf>
    <xf numFmtId="0" fontId="32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indent="1"/>
    </xf>
    <xf numFmtId="44" fontId="37" fillId="9" borderId="9" xfId="3" applyFont="1" applyFill="1" applyBorder="1"/>
    <xf numFmtId="49" fontId="34" fillId="6" borderId="0" xfId="0" quotePrefix="1" applyNumberFormat="1" applyFont="1" applyFill="1" applyProtection="1">
      <protection locked="0"/>
    </xf>
    <xf numFmtId="0" fontId="34" fillId="6" borderId="0" xfId="0" applyFont="1" applyFill="1"/>
    <xf numFmtId="0" fontId="34" fillId="6" borderId="0" xfId="0" quotePrefix="1" applyFont="1" applyFill="1"/>
    <xf numFmtId="0" fontId="34" fillId="6" borderId="0" xfId="0" quotePrefix="1" applyFont="1" applyFill="1" applyProtection="1">
      <protection locked="0"/>
    </xf>
    <xf numFmtId="0" fontId="32" fillId="0" borderId="19" xfId="0" applyFont="1" applyBorder="1"/>
    <xf numFmtId="0" fontId="32" fillId="0" borderId="20" xfId="0" applyFont="1" applyBorder="1"/>
    <xf numFmtId="3" fontId="33" fillId="9" borderId="14" xfId="0" applyNumberFormat="1" applyFont="1" applyFill="1" applyBorder="1" applyAlignment="1">
      <alignment horizontal="center"/>
    </xf>
    <xf numFmtId="164" fontId="33" fillId="0" borderId="11" xfId="1" applyNumberFormat="1" applyFont="1" applyFill="1" applyBorder="1" applyAlignment="1">
      <alignment horizontal="center"/>
    </xf>
    <xf numFmtId="0" fontId="40" fillId="11" borderId="0" xfId="0" applyFont="1" applyFill="1"/>
    <xf numFmtId="44" fontId="33" fillId="9" borderId="14" xfId="3" applyFont="1" applyFill="1" applyBorder="1"/>
    <xf numFmtId="0" fontId="33" fillId="0" borderId="10" xfId="0" applyFont="1" applyBorder="1" applyAlignment="1">
      <alignment horizontal="left" indent="3"/>
    </xf>
    <xf numFmtId="44" fontId="33" fillId="0" borderId="0" xfId="3" applyFont="1" applyBorder="1"/>
    <xf numFmtId="44" fontId="33" fillId="0" borderId="12" xfId="0" applyNumberFormat="1" applyFont="1" applyBorder="1"/>
    <xf numFmtId="165" fontId="33" fillId="0" borderId="11" xfId="7" applyNumberFormat="1" applyFont="1" applyFill="1" applyBorder="1"/>
    <xf numFmtId="0" fontId="39" fillId="0" borderId="10" xfId="0" applyFont="1" applyBorder="1"/>
    <xf numFmtId="0" fontId="39" fillId="0" borderId="10" xfId="0" applyFont="1" applyBorder="1" applyAlignment="1">
      <alignment horizontal="left"/>
    </xf>
    <xf numFmtId="0" fontId="39" fillId="0" borderId="11" xfId="0" applyFont="1" applyBorder="1"/>
    <xf numFmtId="49" fontId="34" fillId="6" borderId="0" xfId="0" quotePrefix="1" applyNumberFormat="1" applyFont="1" applyFill="1"/>
    <xf numFmtId="0" fontId="33" fillId="0" borderId="11" xfId="0" applyFont="1" applyBorder="1" applyAlignment="1">
      <alignment horizontal="left" indent="1"/>
    </xf>
    <xf numFmtId="44" fontId="33" fillId="2" borderId="9" xfId="3" applyFont="1" applyFill="1" applyBorder="1" applyAlignment="1">
      <alignment horizontal="center"/>
    </xf>
    <xf numFmtId="0" fontId="35" fillId="0" borderId="19" xfId="0" applyFont="1" applyBorder="1"/>
    <xf numFmtId="0" fontId="36" fillId="0" borderId="11" xfId="0" applyFont="1" applyBorder="1"/>
    <xf numFmtId="0" fontId="41" fillId="0" borderId="11" xfId="0" applyFont="1" applyBorder="1"/>
    <xf numFmtId="0" fontId="42" fillId="9" borderId="11" xfId="0" applyFont="1" applyFill="1" applyBorder="1"/>
    <xf numFmtId="0" fontId="43" fillId="0" borderId="0" xfId="0" applyFont="1"/>
    <xf numFmtId="167" fontId="43" fillId="0" borderId="0" xfId="3" applyNumberFormat="1" applyFont="1"/>
    <xf numFmtId="167" fontId="45" fillId="0" borderId="0" xfId="3" applyNumberFormat="1" applyFont="1" applyFill="1" applyAlignment="1"/>
    <xf numFmtId="167" fontId="46" fillId="0" borderId="0" xfId="3" applyNumberFormat="1" applyFont="1" applyFill="1"/>
    <xf numFmtId="0" fontId="43" fillId="0" borderId="0" xfId="0" quotePrefix="1" applyFont="1"/>
    <xf numFmtId="167" fontId="47" fillId="0" borderId="0" xfId="3" applyNumberFormat="1" applyFont="1" applyAlignment="1" applyProtection="1">
      <alignment horizontal="center"/>
    </xf>
    <xf numFmtId="49" fontId="48" fillId="0" borderId="72" xfId="0" applyNumberFormat="1" applyFont="1" applyBorder="1" applyAlignment="1">
      <alignment horizontal="center"/>
    </xf>
    <xf numFmtId="0" fontId="48" fillId="0" borderId="73" xfId="0" applyFont="1" applyBorder="1" applyAlignment="1">
      <alignment horizontal="center"/>
    </xf>
    <xf numFmtId="167" fontId="48" fillId="0" borderId="73" xfId="3" applyNumberFormat="1" applyFont="1" applyBorder="1" applyAlignment="1">
      <alignment horizontal="center"/>
    </xf>
    <xf numFmtId="0" fontId="30" fillId="2" borderId="75" xfId="0" applyFont="1" applyFill="1" applyBorder="1"/>
    <xf numFmtId="0" fontId="49" fillId="2" borderId="76" xfId="0" applyFont="1" applyFill="1" applyBorder="1"/>
    <xf numFmtId="167" fontId="49" fillId="2" borderId="76" xfId="3" applyNumberFormat="1" applyFont="1" applyFill="1" applyBorder="1"/>
    <xf numFmtId="49" fontId="29" fillId="0" borderId="75" xfId="0" applyNumberFormat="1" applyFont="1" applyBorder="1" applyAlignment="1">
      <alignment horizontal="center"/>
    </xf>
    <xf numFmtId="0" fontId="43" fillId="0" borderId="76" xfId="0" quotePrefix="1" applyFont="1" applyBorder="1"/>
    <xf numFmtId="167" fontId="29" fillId="0" borderId="76" xfId="3" applyNumberFormat="1" applyFont="1" applyFill="1" applyBorder="1"/>
    <xf numFmtId="49" fontId="50" fillId="2" borderId="75" xfId="0" applyNumberFormat="1" applyFont="1" applyFill="1" applyBorder="1" applyAlignment="1">
      <alignment horizontal="center"/>
    </xf>
    <xf numFmtId="0" fontId="51" fillId="2" borderId="76" xfId="0" applyFont="1" applyFill="1" applyBorder="1"/>
    <xf numFmtId="167" fontId="50" fillId="2" borderId="76" xfId="3" applyNumberFormat="1" applyFont="1" applyFill="1" applyBorder="1"/>
    <xf numFmtId="49" fontId="29" fillId="0" borderId="75" xfId="0" quotePrefix="1" applyNumberFormat="1" applyFont="1" applyBorder="1" applyAlignment="1">
      <alignment horizontal="center"/>
    </xf>
    <xf numFmtId="0" fontId="43" fillId="0" borderId="76" xfId="0" applyFont="1" applyBorder="1" applyAlignment="1">
      <alignment horizontal="left" indent="1"/>
    </xf>
    <xf numFmtId="167" fontId="51" fillId="0" borderId="0" xfId="3" applyNumberFormat="1" applyFont="1"/>
    <xf numFmtId="0" fontId="51" fillId="0" borderId="0" xfId="0" applyFont="1"/>
    <xf numFmtId="167" fontId="46" fillId="0" borderId="0" xfId="3" applyNumberFormat="1" applyFont="1" applyAlignment="1"/>
    <xf numFmtId="0" fontId="46" fillId="0" borderId="0" xfId="0" applyFont="1"/>
    <xf numFmtId="170" fontId="46" fillId="0" borderId="0" xfId="0" applyNumberFormat="1" applyFont="1"/>
    <xf numFmtId="0" fontId="48" fillId="0" borderId="0" xfId="0" applyFont="1" applyAlignment="1">
      <alignment horizontal="center"/>
    </xf>
    <xf numFmtId="167" fontId="48" fillId="0" borderId="25" xfId="3" applyNumberFormat="1" applyFont="1" applyBorder="1" applyAlignment="1">
      <alignment horizontal="center"/>
    </xf>
    <xf numFmtId="0" fontId="49" fillId="0" borderId="0" xfId="0" applyFont="1"/>
    <xf numFmtId="167" fontId="48" fillId="0" borderId="33" xfId="3" applyNumberFormat="1" applyFont="1" applyBorder="1" applyAlignment="1">
      <alignment horizontal="center"/>
    </xf>
    <xf numFmtId="0" fontId="48" fillId="0" borderId="33" xfId="0" applyFont="1" applyBorder="1" applyAlignment="1">
      <alignment horizontal="center"/>
    </xf>
    <xf numFmtId="167" fontId="49" fillId="2" borderId="26" xfId="3" applyNumberFormat="1" applyFont="1" applyFill="1" applyBorder="1"/>
    <xf numFmtId="167" fontId="49" fillId="2" borderId="34" xfId="3" applyNumberFormat="1" applyFont="1" applyFill="1" applyBorder="1"/>
    <xf numFmtId="0" fontId="49" fillId="2" borderId="34" xfId="0" applyFont="1" applyFill="1" applyBorder="1"/>
    <xf numFmtId="167" fontId="50" fillId="5" borderId="26" xfId="3" applyNumberFormat="1" applyFont="1" applyFill="1" applyBorder="1"/>
    <xf numFmtId="167" fontId="51" fillId="5" borderId="26" xfId="3" applyNumberFormat="1" applyFont="1" applyFill="1" applyBorder="1"/>
    <xf numFmtId="164" fontId="51" fillId="5" borderId="34" xfId="1" applyNumberFormat="1" applyFont="1" applyFill="1" applyBorder="1"/>
    <xf numFmtId="167" fontId="50" fillId="2" borderId="26" xfId="3" applyNumberFormat="1" applyFont="1" applyFill="1" applyBorder="1"/>
    <xf numFmtId="164" fontId="51" fillId="5" borderId="34" xfId="1" applyNumberFormat="1" applyFont="1" applyFill="1" applyBorder="1" applyAlignment="1">
      <alignment horizontal="center"/>
    </xf>
    <xf numFmtId="167" fontId="51" fillId="5" borderId="26" xfId="3" applyNumberFormat="1" applyFont="1" applyFill="1" applyBorder="1" applyAlignment="1">
      <alignment horizontal="center"/>
    </xf>
    <xf numFmtId="49" fontId="29" fillId="0" borderId="82" xfId="0" applyNumberFormat="1" applyFont="1" applyBorder="1" applyAlignment="1">
      <alignment horizontal="center"/>
    </xf>
    <xf numFmtId="0" fontId="43" fillId="0" borderId="83" xfId="0" quotePrefix="1" applyFont="1" applyBorder="1"/>
    <xf numFmtId="167" fontId="29" fillId="0" borderId="83" xfId="3" applyNumberFormat="1" applyFont="1" applyFill="1" applyBorder="1"/>
    <xf numFmtId="0" fontId="38" fillId="2" borderId="78" xfId="0" applyFont="1" applyFill="1" applyBorder="1"/>
    <xf numFmtId="0" fontId="34" fillId="2" borderId="1" xfId="0" applyFont="1" applyFill="1" applyBorder="1"/>
    <xf numFmtId="167" fontId="38" fillId="2" borderId="1" xfId="3" applyNumberFormat="1" applyFont="1" applyFill="1" applyBorder="1"/>
    <xf numFmtId="10" fontId="29" fillId="9" borderId="82" xfId="7" applyNumberFormat="1" applyFont="1" applyFill="1" applyBorder="1" applyAlignment="1">
      <alignment horizontal="center"/>
    </xf>
    <xf numFmtId="0" fontId="43" fillId="0" borderId="83" xfId="0" applyFont="1" applyBorder="1"/>
    <xf numFmtId="0" fontId="43" fillId="0" borderId="76" xfId="0" applyFont="1" applyBorder="1"/>
    <xf numFmtId="0" fontId="52" fillId="0" borderId="76" xfId="0" applyFont="1" applyBorder="1" applyAlignment="1">
      <alignment horizontal="right"/>
    </xf>
    <xf numFmtId="167" fontId="50" fillId="5" borderId="85" xfId="3" applyNumberFormat="1" applyFont="1" applyFill="1" applyBorder="1"/>
    <xf numFmtId="0" fontId="34" fillId="0" borderId="0" xfId="0" applyFont="1"/>
    <xf numFmtId="167" fontId="51" fillId="5" borderId="27" xfId="3" applyNumberFormat="1" applyFont="1" applyFill="1" applyBorder="1"/>
    <xf numFmtId="164" fontId="51" fillId="5" borderId="35" xfId="1" applyNumberFormat="1" applyFont="1" applyFill="1" applyBorder="1"/>
    <xf numFmtId="167" fontId="38" fillId="2" borderId="44" xfId="3" applyNumberFormat="1" applyFont="1" applyFill="1" applyBorder="1"/>
    <xf numFmtId="167" fontId="34" fillId="2" borderId="13" xfId="3" applyNumberFormat="1" applyFont="1" applyFill="1" applyBorder="1"/>
    <xf numFmtId="167" fontId="34" fillId="2" borderId="43" xfId="3" applyNumberFormat="1" applyFont="1" applyFill="1" applyBorder="1"/>
    <xf numFmtId="164" fontId="34" fillId="2" borderId="13" xfId="1" applyNumberFormat="1" applyFont="1" applyFill="1" applyBorder="1"/>
    <xf numFmtId="167" fontId="50" fillId="5" borderId="85" xfId="3" applyNumberFormat="1" applyFont="1" applyFill="1" applyBorder="1" applyAlignment="1">
      <alignment horizontal="center"/>
    </xf>
    <xf numFmtId="167" fontId="51" fillId="5" borderId="44" xfId="3" applyNumberFormat="1" applyFont="1" applyFill="1" applyBorder="1" applyAlignment="1">
      <alignment horizontal="center"/>
    </xf>
    <xf numFmtId="164" fontId="51" fillId="5" borderId="47" xfId="1" applyNumberFormat="1" applyFont="1" applyFill="1" applyBorder="1" applyAlignment="1">
      <alignment horizontal="center"/>
    </xf>
    <xf numFmtId="167" fontId="50" fillId="5" borderId="26" xfId="3" applyNumberFormat="1" applyFont="1" applyFill="1" applyBorder="1" applyAlignment="1">
      <alignment horizontal="center"/>
    </xf>
    <xf numFmtId="167" fontId="51" fillId="5" borderId="46" xfId="3" applyNumberFormat="1" applyFont="1" applyFill="1" applyBorder="1"/>
    <xf numFmtId="164" fontId="51" fillId="5" borderId="45" xfId="1" applyNumberFormat="1" applyFont="1" applyFill="1" applyBorder="1"/>
    <xf numFmtId="0" fontId="52" fillId="0" borderId="83" xfId="0" applyFont="1" applyBorder="1" applyAlignment="1">
      <alignment horizontal="right"/>
    </xf>
    <xf numFmtId="164" fontId="38" fillId="2" borderId="1" xfId="1" applyNumberFormat="1" applyFont="1" applyFill="1" applyBorder="1"/>
    <xf numFmtId="167" fontId="51" fillId="5" borderId="44" xfId="3" applyNumberFormat="1" applyFont="1" applyFill="1" applyBorder="1"/>
    <xf numFmtId="164" fontId="51" fillId="5" borderId="47" xfId="1" applyNumberFormat="1" applyFont="1" applyFill="1" applyBorder="1"/>
    <xf numFmtId="0" fontId="38" fillId="2" borderId="80" xfId="0" applyFont="1" applyFill="1" applyBorder="1"/>
    <xf numFmtId="0" fontId="34" fillId="2" borderId="81" xfId="0" applyFont="1" applyFill="1" applyBorder="1"/>
    <xf numFmtId="167" fontId="38" fillId="2" borderId="81" xfId="3" applyNumberFormat="1" applyFont="1" applyFill="1" applyBorder="1"/>
    <xf numFmtId="49" fontId="43" fillId="0" borderId="0" xfId="0" applyNumberFormat="1" applyFont="1" applyAlignment="1">
      <alignment horizontal="center"/>
    </xf>
    <xf numFmtId="44" fontId="43" fillId="0" borderId="0" xfId="3" applyFont="1"/>
    <xf numFmtId="44" fontId="51" fillId="0" borderId="0" xfId="3" applyFont="1"/>
    <xf numFmtId="167" fontId="50" fillId="0" borderId="0" xfId="3" applyNumberFormat="1" applyFont="1"/>
    <xf numFmtId="167" fontId="51" fillId="12" borderId="34" xfId="3" applyNumberFormat="1" applyFont="1" applyFill="1" applyBorder="1"/>
    <xf numFmtId="167" fontId="51" fillId="12" borderId="26" xfId="3" applyNumberFormat="1" applyFont="1" applyFill="1" applyBorder="1"/>
    <xf numFmtId="167" fontId="51" fillId="12" borderId="34" xfId="3" applyNumberFormat="1" applyFont="1" applyFill="1" applyBorder="1" applyAlignment="1">
      <alignment horizontal="center"/>
    </xf>
    <xf numFmtId="167" fontId="51" fillId="12" borderId="26" xfId="3" applyNumberFormat="1" applyFont="1" applyFill="1" applyBorder="1" applyAlignment="1">
      <alignment horizontal="center"/>
    </xf>
    <xf numFmtId="167" fontId="51" fillId="12" borderId="35" xfId="3" applyNumberFormat="1" applyFont="1" applyFill="1" applyBorder="1"/>
    <xf numFmtId="167" fontId="51" fillId="12" borderId="27" xfId="3" applyNumberFormat="1" applyFont="1" applyFill="1" applyBorder="1"/>
    <xf numFmtId="167" fontId="51" fillId="12" borderId="47" xfId="3" applyNumberFormat="1" applyFont="1" applyFill="1" applyBorder="1" applyAlignment="1">
      <alignment horizontal="center"/>
    </xf>
    <xf numFmtId="167" fontId="51" fillId="12" borderId="44" xfId="3" applyNumberFormat="1" applyFont="1" applyFill="1" applyBorder="1" applyAlignment="1">
      <alignment horizontal="center"/>
    </xf>
    <xf numFmtId="167" fontId="51" fillId="12" borderId="45" xfId="3" applyNumberFormat="1" applyFont="1" applyFill="1" applyBorder="1"/>
    <xf numFmtId="167" fontId="51" fillId="12" borderId="46" xfId="3" applyNumberFormat="1" applyFont="1" applyFill="1" applyBorder="1"/>
    <xf numFmtId="167" fontId="51" fillId="12" borderId="47" xfId="3" applyNumberFormat="1" applyFont="1" applyFill="1" applyBorder="1"/>
    <xf numFmtId="167" fontId="51" fillId="12" borderId="44" xfId="3" applyNumberFormat="1" applyFont="1" applyFill="1" applyBorder="1"/>
    <xf numFmtId="167" fontId="21" fillId="12" borderId="34" xfId="3" applyNumberFormat="1" applyFont="1" applyFill="1" applyBorder="1"/>
    <xf numFmtId="167" fontId="21" fillId="12" borderId="26" xfId="3" applyNumberFormat="1" applyFont="1" applyFill="1" applyBorder="1"/>
    <xf numFmtId="167" fontId="0" fillId="12" borderId="5" xfId="3" applyNumberFormat="1" applyFont="1" applyFill="1" applyBorder="1"/>
    <xf numFmtId="0" fontId="45" fillId="0" borderId="0" xfId="0" applyFont="1" applyAlignment="1">
      <alignment horizontal="left"/>
    </xf>
    <xf numFmtId="171" fontId="45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/>
    <xf numFmtId="0" fontId="0" fillId="0" borderId="32" xfId="0" applyBorder="1"/>
    <xf numFmtId="0" fontId="0" fillId="0" borderId="88" xfId="0" applyBorder="1"/>
    <xf numFmtId="0" fontId="0" fillId="0" borderId="89" xfId="0" applyBorder="1"/>
    <xf numFmtId="167" fontId="0" fillId="0" borderId="89" xfId="3" applyNumberFormat="1" applyFont="1" applyBorder="1"/>
    <xf numFmtId="0" fontId="0" fillId="0" borderId="89" xfId="0" applyBorder="1" applyAlignment="1">
      <alignment horizontal="center"/>
    </xf>
    <xf numFmtId="167" fontId="0" fillId="10" borderId="89" xfId="3" applyNumberFormat="1" applyFont="1" applyFill="1" applyBorder="1"/>
    <xf numFmtId="167" fontId="0" fillId="8" borderId="89" xfId="3" applyNumberFormat="1" applyFont="1" applyFill="1" applyBorder="1"/>
    <xf numFmtId="167" fontId="0" fillId="12" borderId="89" xfId="3" applyNumberFormat="1" applyFont="1" applyFill="1" applyBorder="1"/>
    <xf numFmtId="0" fontId="0" fillId="0" borderId="90" xfId="0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9" xfId="0" applyFont="1" applyBorder="1" applyAlignment="1">
      <alignment horizontal="center"/>
    </xf>
    <xf numFmtId="0" fontId="0" fillId="2" borderId="86" xfId="0" applyFill="1" applyBorder="1" applyAlignment="1">
      <alignment horizontal="center"/>
    </xf>
    <xf numFmtId="0" fontId="0" fillId="2" borderId="89" xfId="0" applyFill="1" applyBorder="1"/>
    <xf numFmtId="0" fontId="0" fillId="2" borderId="90" xfId="0" applyFill="1" applyBorder="1"/>
    <xf numFmtId="0" fontId="31" fillId="7" borderId="63" xfId="11" applyFont="1" applyFill="1" applyBorder="1" applyAlignment="1">
      <alignment horizontal="center"/>
    </xf>
    <xf numFmtId="0" fontId="7" fillId="0" borderId="4" xfId="0" applyFont="1" applyBorder="1"/>
    <xf numFmtId="167" fontId="0" fillId="0" borderId="5" xfId="3" applyNumberFormat="1" applyFont="1" applyFill="1" applyBorder="1"/>
    <xf numFmtId="0" fontId="2" fillId="0" borderId="5" xfId="0" applyFont="1" applyBorder="1"/>
    <xf numFmtId="44" fontId="0" fillId="0" borderId="0" xfId="0" applyNumberFormat="1"/>
    <xf numFmtId="0" fontId="2" fillId="0" borderId="40" xfId="0" applyFont="1" applyBorder="1" applyAlignment="1">
      <alignment horizontal="center"/>
    </xf>
    <xf numFmtId="0" fontId="2" fillId="0" borderId="6" xfId="0" applyFont="1" applyBorder="1"/>
    <xf numFmtId="0" fontId="0" fillId="0" borderId="7" xfId="0" applyBorder="1"/>
    <xf numFmtId="0" fontId="2" fillId="0" borderId="7" xfId="0" applyFont="1" applyBorder="1"/>
    <xf numFmtId="167" fontId="2" fillId="0" borderId="5" xfId="3" applyNumberFormat="1" applyFont="1" applyFill="1" applyBorder="1"/>
    <xf numFmtId="10" fontId="29" fillId="0" borderId="75" xfId="7" applyNumberFormat="1" applyFont="1" applyFill="1" applyBorder="1" applyAlignment="1">
      <alignment horizontal="center"/>
    </xf>
    <xf numFmtId="167" fontId="0" fillId="0" borderId="69" xfId="3" applyNumberFormat="1" applyFont="1" applyBorder="1" applyAlignment="1">
      <alignment horizontal="center"/>
    </xf>
    <xf numFmtId="167" fontId="0" fillId="0" borderId="68" xfId="3" applyNumberFormat="1" applyFont="1" applyBorder="1" applyAlignment="1">
      <alignment horizontal="center"/>
    </xf>
    <xf numFmtId="0" fontId="52" fillId="13" borderId="76" xfId="0" applyFont="1" applyFill="1" applyBorder="1" applyAlignment="1">
      <alignment horizontal="right"/>
    </xf>
    <xf numFmtId="44" fontId="0" fillId="0" borderId="0" xfId="3" applyFont="1" applyFill="1" applyBorder="1"/>
    <xf numFmtId="2" fontId="0" fillId="0" borderId="0" xfId="0" applyNumberFormat="1"/>
    <xf numFmtId="0" fontId="33" fillId="0" borderId="11" xfId="0" quotePrefix="1" applyFont="1" applyBorder="1"/>
    <xf numFmtId="164" fontId="0" fillId="0" borderId="0" xfId="1" applyNumberFormat="1" applyFont="1"/>
    <xf numFmtId="44" fontId="29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/>
    <xf numFmtId="167" fontId="35" fillId="3" borderId="10" xfId="0" applyNumberFormat="1" applyFont="1" applyFill="1" applyBorder="1" applyAlignment="1">
      <alignment horizontal="center"/>
    </xf>
    <xf numFmtId="167" fontId="35" fillId="0" borderId="5" xfId="0" applyNumberFormat="1" applyFont="1" applyBorder="1" applyAlignment="1">
      <alignment horizontal="center"/>
    </xf>
    <xf numFmtId="167" fontId="32" fillId="2" borderId="10" xfId="0" applyNumberFormat="1" applyFont="1" applyFill="1" applyBorder="1" applyAlignment="1">
      <alignment horizontal="center"/>
    </xf>
    <xf numFmtId="42" fontId="32" fillId="3" borderId="10" xfId="0" applyNumberFormat="1" applyFont="1" applyFill="1" applyBorder="1"/>
    <xf numFmtId="42" fontId="32" fillId="2" borderId="10" xfId="0" applyNumberFormat="1" applyFont="1" applyFill="1" applyBorder="1"/>
    <xf numFmtId="167" fontId="32" fillId="3" borderId="10" xfId="0" applyNumberFormat="1" applyFont="1" applyFill="1" applyBorder="1" applyAlignment="1">
      <alignment horizontal="center"/>
    </xf>
    <xf numFmtId="167" fontId="33" fillId="0" borderId="5" xfId="0" applyNumberFormat="1" applyFont="1" applyBorder="1"/>
    <xf numFmtId="0" fontId="11" fillId="4" borderId="36" xfId="0" applyFont="1" applyFill="1" applyBorder="1"/>
    <xf numFmtId="0" fontId="11" fillId="0" borderId="0" xfId="0" applyFont="1" applyAlignment="1">
      <alignment horizontal="right"/>
    </xf>
    <xf numFmtId="172" fontId="2" fillId="0" borderId="0" xfId="1" applyNumberFormat="1" applyFont="1" applyAlignment="1">
      <alignment horizontal="center"/>
    </xf>
    <xf numFmtId="167" fontId="2" fillId="4" borderId="0" xfId="3" applyNumberFormat="1" applyFont="1" applyFill="1" applyAlignment="1">
      <alignment horizontal="center"/>
    </xf>
    <xf numFmtId="0" fontId="43" fillId="0" borderId="76" xfId="0" applyFont="1" applyBorder="1" applyAlignment="1">
      <alignment vertical="center"/>
    </xf>
    <xf numFmtId="0" fontId="32" fillId="0" borderId="0" xfId="0" applyFont="1"/>
    <xf numFmtId="3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44" fontId="32" fillId="0" borderId="0" xfId="3" applyFont="1" applyBorder="1"/>
    <xf numFmtId="171" fontId="45" fillId="0" borderId="0" xfId="0" applyNumberFormat="1" applyFont="1" applyAlignment="1">
      <alignment horizontal="left"/>
    </xf>
    <xf numFmtId="167" fontId="0" fillId="0" borderId="0" xfId="3" applyNumberFormat="1" applyFont="1" applyBorder="1" applyAlignment="1">
      <alignment horizontal="center"/>
    </xf>
    <xf numFmtId="167" fontId="0" fillId="0" borderId="69" xfId="3" applyNumberFormat="1" applyFont="1" applyBorder="1" applyAlignment="1">
      <alignment horizontal="center"/>
    </xf>
    <xf numFmtId="167" fontId="0" fillId="0" borderId="68" xfId="3" applyNumberFormat="1" applyFont="1" applyBorder="1" applyAlignment="1">
      <alignment horizontal="center"/>
    </xf>
    <xf numFmtId="167" fontId="17" fillId="2" borderId="57" xfId="3" applyNumberFormat="1" applyFont="1" applyFill="1" applyBorder="1" applyAlignment="1">
      <alignment horizontal="center"/>
    </xf>
    <xf numFmtId="167" fontId="0" fillId="0" borderId="57" xfId="3" applyNumberFormat="1" applyFont="1" applyBorder="1" applyAlignment="1">
      <alignment horizontal="center"/>
    </xf>
    <xf numFmtId="167" fontId="0" fillId="0" borderId="58" xfId="3" applyNumberFormat="1" applyFont="1" applyBorder="1" applyAlignment="1">
      <alignment horizontal="center"/>
    </xf>
    <xf numFmtId="167" fontId="17" fillId="2" borderId="61" xfId="3" applyNumberFormat="1" applyFont="1" applyFill="1" applyBorder="1" applyAlignment="1">
      <alignment horizontal="center"/>
    </xf>
    <xf numFmtId="167" fontId="0" fillId="0" borderId="59" xfId="3" applyNumberFormat="1" applyFont="1" applyBorder="1" applyAlignment="1">
      <alignment horizontal="center"/>
    </xf>
    <xf numFmtId="167" fontId="0" fillId="0" borderId="71" xfId="3" applyNumberFormat="1" applyFont="1" applyBorder="1" applyAlignment="1">
      <alignment horizontal="center"/>
    </xf>
    <xf numFmtId="167" fontId="0" fillId="0" borderId="52" xfId="3" applyNumberFormat="1" applyFont="1" applyBorder="1" applyAlignment="1">
      <alignment horizontal="center"/>
    </xf>
    <xf numFmtId="167" fontId="0" fillId="0" borderId="55" xfId="3" applyNumberFormat="1" applyFont="1" applyBorder="1" applyAlignment="1">
      <alignment horizontal="center"/>
    </xf>
    <xf numFmtId="167" fontId="0" fillId="0" borderId="67" xfId="3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167" fontId="0" fillId="0" borderId="63" xfId="3" applyNumberFormat="1" applyFont="1" applyBorder="1" applyAlignment="1">
      <alignment horizontal="center"/>
    </xf>
    <xf numFmtId="167" fontId="0" fillId="0" borderId="66" xfId="3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30" fillId="0" borderId="28" xfId="0" applyFont="1" applyBorder="1" applyAlignment="1">
      <alignment horizontal="center"/>
    </xf>
    <xf numFmtId="0" fontId="33" fillId="0" borderId="11" xfId="0" applyFont="1" applyFill="1" applyBorder="1" applyAlignment="1">
      <alignment horizontal="center"/>
    </xf>
    <xf numFmtId="0" fontId="33" fillId="0" borderId="12" xfId="0" applyFont="1" applyFill="1" applyBorder="1"/>
    <xf numFmtId="3" fontId="33" fillId="0" borderId="9" xfId="0" applyNumberFormat="1" applyFont="1" applyFill="1" applyBorder="1" applyAlignment="1">
      <alignment horizontal="center"/>
    </xf>
    <xf numFmtId="0" fontId="33" fillId="0" borderId="11" xfId="0" applyFont="1" applyFill="1" applyBorder="1"/>
    <xf numFmtId="0" fontId="33" fillId="0" borderId="12" xfId="0" applyFont="1" applyFill="1" applyBorder="1" applyAlignment="1">
      <alignment horizontal="right"/>
    </xf>
    <xf numFmtId="0" fontId="33" fillId="0" borderId="20" xfId="0" applyFont="1" applyFill="1" applyBorder="1"/>
    <xf numFmtId="0" fontId="33" fillId="0" borderId="21" xfId="0" applyFont="1" applyFill="1" applyBorder="1" applyAlignment="1">
      <alignment horizontal="right"/>
    </xf>
    <xf numFmtId="3" fontId="33" fillId="0" borderId="14" xfId="0" applyNumberFormat="1" applyFont="1" applyFill="1" applyBorder="1" applyAlignment="1">
      <alignment horizontal="center"/>
    </xf>
    <xf numFmtId="0" fontId="33" fillId="0" borderId="21" xfId="0" applyFont="1" applyFill="1" applyBorder="1"/>
    <xf numFmtId="0" fontId="32" fillId="0" borderId="20" xfId="0" applyFont="1" applyFill="1" applyBorder="1"/>
    <xf numFmtId="44" fontId="33" fillId="0" borderId="12" xfId="0" applyNumberFormat="1" applyFont="1" applyFill="1" applyBorder="1" applyAlignment="1">
      <alignment horizontal="right"/>
    </xf>
    <xf numFmtId="44" fontId="33" fillId="0" borderId="12" xfId="0" applyNumberFormat="1" applyFont="1" applyFill="1" applyBorder="1"/>
    <xf numFmtId="0" fontId="29" fillId="0" borderId="0" xfId="0" applyFont="1" applyFill="1"/>
    <xf numFmtId="0" fontId="58" fillId="0" borderId="91" xfId="0" applyFont="1" applyBorder="1" applyAlignment="1">
      <alignment horizontal="center" vertical="top" wrapText="1"/>
    </xf>
    <xf numFmtId="0" fontId="29" fillId="0" borderId="92" xfId="0" applyFont="1" applyBorder="1" applyAlignment="1">
      <alignment horizontal="center" vertical="top"/>
    </xf>
    <xf numFmtId="0" fontId="29" fillId="0" borderId="93" xfId="0" applyFont="1" applyBorder="1" applyAlignment="1">
      <alignment horizontal="center" vertical="top"/>
    </xf>
    <xf numFmtId="0" fontId="44" fillId="0" borderId="0" xfId="0" applyFont="1" applyAlignment="1"/>
    <xf numFmtId="0" fontId="45" fillId="0" borderId="0" xfId="0" applyFont="1" applyAlignment="1"/>
    <xf numFmtId="171" fontId="45" fillId="0" borderId="0" xfId="0" applyNumberFormat="1" applyFont="1" applyAlignment="1"/>
    <xf numFmtId="169" fontId="2" fillId="4" borderId="0" xfId="0" applyNumberFormat="1" applyFont="1" applyFill="1"/>
    <xf numFmtId="44" fontId="2" fillId="4" borderId="0" xfId="3" applyFont="1" applyFill="1" applyAlignment="1">
      <alignment horizontal="center"/>
    </xf>
    <xf numFmtId="167" fontId="3" fillId="4" borderId="37" xfId="3" applyNumberFormat="1" applyFont="1" applyFill="1" applyBorder="1" applyAlignment="1">
      <alignment horizontal="center"/>
    </xf>
  </cellXfs>
  <cellStyles count="26">
    <cellStyle name="Comma" xfId="1" builtinId="3"/>
    <cellStyle name="Comma 2" xfId="2" xr:uid="{00000000-0005-0000-0000-000001000000}"/>
    <cellStyle name="Comma 2 2" xfId="14" xr:uid="{00000000-0005-0000-0000-000002000000}"/>
    <cellStyle name="Comma 3" xfId="20" xr:uid="{D26E6F90-5463-48AE-BCB4-55671F761659}"/>
    <cellStyle name="Comma 4" xfId="24" xr:uid="{AF1A51B5-9090-4DD7-B339-E8E018188C70}"/>
    <cellStyle name="Currency" xfId="3" builtinId="4"/>
    <cellStyle name="Currency 2" xfId="9" xr:uid="{00000000-0005-0000-0000-000004000000}"/>
    <cellStyle name="Currency 2 2" xfId="25" xr:uid="{E3CBE8F1-E414-405C-A52D-EEC0FD1BC357}"/>
    <cellStyle name="Currency 3" xfId="4" xr:uid="{00000000-0005-0000-0000-000005000000}"/>
    <cellStyle name="Currency 4" xfId="12" xr:uid="{00000000-0005-0000-0000-000006000000}"/>
    <cellStyle name="Currency 5" xfId="18" xr:uid="{6787664E-44B7-469E-975B-69A51AA13B1F}"/>
    <cellStyle name="Currency 6" xfId="22" xr:uid="{A9A46AFD-325C-47BA-9B0A-17547D06D017}"/>
    <cellStyle name="Hyperlink" xfId="11" builtinId="8"/>
    <cellStyle name="Normal" xfId="0" builtinId="0"/>
    <cellStyle name="Normal 2" xfId="10" xr:uid="{00000000-0005-0000-0000-000009000000}"/>
    <cellStyle name="Normal 2 2" xfId="13" xr:uid="{00000000-0005-0000-0000-00000A000000}"/>
    <cellStyle name="Normal 3" xfId="5" xr:uid="{00000000-0005-0000-0000-00000B000000}"/>
    <cellStyle name="Normal 4" xfId="6" xr:uid="{00000000-0005-0000-0000-00000C000000}"/>
    <cellStyle name="Normal 5" xfId="17" xr:uid="{3B84BD96-5696-4C6D-8072-3F347DAA1EAD}"/>
    <cellStyle name="Normal 6" xfId="16" xr:uid="{00000000-0005-0000-0000-00000D000000}"/>
    <cellStyle name="Normal 7" xfId="21" xr:uid="{183B20F8-61D3-4B1C-9F9E-26D79DAB0F72}"/>
    <cellStyle name="Percent" xfId="7" builtinId="5"/>
    <cellStyle name="Percent 2" xfId="8" xr:uid="{00000000-0005-0000-0000-000010000000}"/>
    <cellStyle name="Percent 3" xfId="15" xr:uid="{00000000-0005-0000-0000-000011000000}"/>
    <cellStyle name="Percent 4" xfId="19" xr:uid="{47C2E301-16F1-4EAB-8BBC-99808CD954CA}"/>
    <cellStyle name="Percent 5" xfId="23" xr:uid="{025DAF8C-C6B6-4F17-88D8-0B39CCAF6289}"/>
  </cellStyles>
  <dxfs count="0"/>
  <tableStyles count="0" defaultTableStyle="TableStyleMedium9" defaultPivotStyle="PivotStyleLight16"/>
  <colors>
    <mruColors>
      <color rgb="FF559CBE"/>
      <color rgb="FFFFFFCC"/>
      <color rgb="FF0000FF"/>
      <color rgb="FFFFFF99"/>
      <color rgb="FF3366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hil Miller" id="{E94A4FA9-53B9-4636-949E-5B50CF2102E3}" userId="S::phil@project-advocates.com::b8514ec6-77ec-40b7-82a0-5e5c5b67fa67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332" dT="2022-11-02T18:23:52.93" personId="{E94A4FA9-53B9-4636-949E-5B50CF2102E3}" id="{2B61E086-12DC-4B26-A308-058159144CFF}">
    <text>Per JQ Engineering, might need to assume a 24"x30" grade beam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J104"/>
  <sheetViews>
    <sheetView topLeftCell="B1" zoomScale="90" zoomScaleNormal="90" workbookViewId="0">
      <selection activeCell="E4" sqref="E4:F4"/>
    </sheetView>
  </sheetViews>
  <sheetFormatPr defaultColWidth="9.08984375" defaultRowHeight="13"/>
  <cols>
    <col min="1" max="1" width="4.6328125" style="84" hidden="1" customWidth="1"/>
    <col min="2" max="2" width="4.6328125" style="84" customWidth="1"/>
    <col min="3" max="3" width="4.90625" style="84" customWidth="1"/>
    <col min="4" max="4" width="1.6328125" style="84" customWidth="1"/>
    <col min="5" max="5" width="12.6328125" style="282" customWidth="1"/>
    <col min="6" max="6" width="48.6328125" style="282" customWidth="1"/>
    <col min="7" max="7" width="22.08984375" style="282" customWidth="1"/>
    <col min="8" max="8" width="20.6328125" style="283" customWidth="1"/>
    <col min="9" max="9" width="20.1796875" style="92" customWidth="1"/>
    <col min="10" max="10" width="20" style="92" hidden="1" customWidth="1"/>
    <col min="11" max="27" width="18.1796875" style="92" hidden="1" customWidth="1"/>
    <col min="28" max="28" width="25" style="302" bestFit="1" customWidth="1"/>
    <col min="29" max="29" width="2.6328125" style="282" customWidth="1"/>
    <col min="30" max="30" width="20.36328125" style="302" hidden="1" customWidth="1"/>
    <col min="31" max="31" width="12.453125" style="302" hidden="1" customWidth="1"/>
    <col min="32" max="32" width="13.6328125" style="302" hidden="1" customWidth="1"/>
    <col min="33" max="33" width="15.6328125" style="302" hidden="1" customWidth="1"/>
    <col min="34" max="34" width="2.6328125" style="282" hidden="1" customWidth="1"/>
    <col min="35" max="35" width="33.453125" style="303" hidden="1" customWidth="1"/>
    <col min="36" max="36" width="2.6328125" style="282" customWidth="1"/>
    <col min="37" max="16384" width="9.08984375" style="84"/>
  </cols>
  <sheetData>
    <row r="2" spans="3:36" ht="30">
      <c r="E2" s="467" t="s">
        <v>866</v>
      </c>
      <c r="F2" s="468"/>
      <c r="G2" s="371"/>
      <c r="H2" s="284"/>
      <c r="I2" s="85"/>
      <c r="J2" s="85"/>
      <c r="K2" s="85"/>
      <c r="L2" s="85"/>
      <c r="M2" s="85"/>
      <c r="N2" s="86"/>
      <c r="O2" s="86"/>
      <c r="P2" s="85"/>
      <c r="Q2" s="85"/>
      <c r="R2" s="85"/>
      <c r="S2" s="86"/>
      <c r="T2" s="86"/>
      <c r="U2" s="86"/>
      <c r="V2" s="86"/>
      <c r="W2" s="85"/>
      <c r="X2" s="85"/>
      <c r="Y2" s="85"/>
      <c r="Z2" s="87"/>
      <c r="AA2" s="87"/>
      <c r="AB2" s="304"/>
      <c r="AD2" s="304"/>
      <c r="AE2" s="304"/>
      <c r="AF2" s="304"/>
      <c r="AG2" s="304"/>
      <c r="AI2" s="305"/>
    </row>
    <row r="3" spans="3:36" ht="21">
      <c r="E3" s="468" t="s">
        <v>867</v>
      </c>
      <c r="F3" s="469"/>
      <c r="G3" s="372"/>
      <c r="H3" s="284"/>
      <c r="I3" s="85"/>
      <c r="J3" s="85"/>
      <c r="K3" s="85"/>
      <c r="L3" s="85"/>
      <c r="M3" s="85"/>
      <c r="N3" s="86"/>
      <c r="O3" s="86"/>
      <c r="P3" s="85"/>
      <c r="Q3" s="85"/>
      <c r="R3" s="85"/>
      <c r="S3" s="86"/>
      <c r="T3" s="86"/>
      <c r="U3" s="86"/>
      <c r="V3" s="86"/>
      <c r="W3" s="85"/>
      <c r="X3" s="85"/>
      <c r="Y3" s="85"/>
      <c r="Z3" s="87"/>
      <c r="AA3" s="87"/>
      <c r="AB3" s="304"/>
      <c r="AD3" s="304"/>
      <c r="AE3" s="304"/>
      <c r="AF3" s="304"/>
      <c r="AG3" s="304"/>
      <c r="AI3" s="306"/>
    </row>
    <row r="4" spans="3:36" ht="20.5">
      <c r="E4" s="431">
        <v>43974</v>
      </c>
      <c r="F4" s="431"/>
      <c r="H4" s="285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9"/>
      <c r="AA4" s="89"/>
    </row>
    <row r="5" spans="3:36">
      <c r="E5" s="286"/>
    </row>
    <row r="6" spans="3:36" s="93" customFormat="1" ht="15" customHeight="1" thickBot="1">
      <c r="E6" s="282"/>
      <c r="F6" s="282"/>
      <c r="G6" s="282"/>
      <c r="H6" s="287" t="s">
        <v>3</v>
      </c>
      <c r="I6" s="94" t="s">
        <v>14</v>
      </c>
      <c r="J6" s="94" t="s">
        <v>10</v>
      </c>
      <c r="K6" s="94" t="s">
        <v>15</v>
      </c>
      <c r="L6" s="94" t="s">
        <v>15</v>
      </c>
      <c r="M6" s="94" t="s">
        <v>15</v>
      </c>
      <c r="N6" s="94" t="s">
        <v>15</v>
      </c>
      <c r="O6" s="94" t="s">
        <v>15</v>
      </c>
      <c r="P6" s="94" t="s">
        <v>15</v>
      </c>
      <c r="Q6" s="94" t="s">
        <v>15</v>
      </c>
      <c r="R6" s="94" t="s">
        <v>15</v>
      </c>
      <c r="S6" s="94" t="s">
        <v>15</v>
      </c>
      <c r="T6" s="94" t="s">
        <v>15</v>
      </c>
      <c r="U6" s="94" t="s">
        <v>15</v>
      </c>
      <c r="V6" s="94" t="s">
        <v>15</v>
      </c>
      <c r="W6" s="94" t="s">
        <v>15</v>
      </c>
      <c r="X6" s="94" t="s">
        <v>15</v>
      </c>
      <c r="Y6" s="94" t="s">
        <v>15</v>
      </c>
      <c r="Z6" s="94" t="s">
        <v>15</v>
      </c>
      <c r="AA6" s="94" t="s">
        <v>15</v>
      </c>
      <c r="AB6" s="302"/>
      <c r="AC6" s="307"/>
      <c r="AD6" s="302"/>
      <c r="AE6" s="302"/>
      <c r="AF6" s="302"/>
      <c r="AG6" s="302"/>
      <c r="AH6" s="307"/>
      <c r="AI6" s="303"/>
      <c r="AJ6" s="307"/>
    </row>
    <row r="7" spans="3:36" s="95" customFormat="1" ht="20.25" customHeight="1" thickTop="1">
      <c r="E7" s="288" t="s">
        <v>16</v>
      </c>
      <c r="F7" s="289" t="s">
        <v>13</v>
      </c>
      <c r="G7" s="289" t="s">
        <v>17</v>
      </c>
      <c r="H7" s="290" t="s">
        <v>3</v>
      </c>
      <c r="I7" s="290" t="s">
        <v>8</v>
      </c>
      <c r="J7" s="290" t="e">
        <f>BO_03</f>
        <v>#REF!</v>
      </c>
      <c r="K7" s="106" t="e">
        <f>BO_04</f>
        <v>#REF!</v>
      </c>
      <c r="L7" s="106" t="e">
        <f>BO_05</f>
        <v>#REF!</v>
      </c>
      <c r="M7" s="106" t="e">
        <f>BO_06</f>
        <v>#REF!</v>
      </c>
      <c r="N7" s="106" t="e">
        <f>BO_07</f>
        <v>#REF!</v>
      </c>
      <c r="O7" s="106" t="e">
        <f>BO_08</f>
        <v>#REF!</v>
      </c>
      <c r="P7" s="106" t="e">
        <f>BO_09</f>
        <v>#REF!</v>
      </c>
      <c r="Q7" s="106" t="e">
        <f>BO_10</f>
        <v>#REF!</v>
      </c>
      <c r="R7" s="106" t="e">
        <f>BO_11</f>
        <v>#REF!</v>
      </c>
      <c r="S7" s="106" t="e">
        <f>BO_12</f>
        <v>#REF!</v>
      </c>
      <c r="T7" s="106" t="e">
        <f>BO_13</f>
        <v>#REF!</v>
      </c>
      <c r="U7" s="106" t="e">
        <f>BO_14</f>
        <v>#REF!</v>
      </c>
      <c r="V7" s="106" t="e">
        <f>BO_15</f>
        <v>#REF!</v>
      </c>
      <c r="W7" s="106" t="e">
        <f>BO_16</f>
        <v>#REF!</v>
      </c>
      <c r="X7" s="106" t="e">
        <f>BO_17</f>
        <v>#REF!</v>
      </c>
      <c r="Y7" s="106" t="e">
        <f>BO_18</f>
        <v>#REF!</v>
      </c>
      <c r="Z7" s="106" t="e">
        <f>BO_19</f>
        <v>#REF!</v>
      </c>
      <c r="AA7" s="107" t="e">
        <f>BO_20</f>
        <v>#REF!</v>
      </c>
      <c r="AB7" s="308" t="s">
        <v>18</v>
      </c>
      <c r="AC7" s="309"/>
      <c r="AD7" s="310" t="s">
        <v>2</v>
      </c>
      <c r="AE7" s="308" t="s">
        <v>19</v>
      </c>
      <c r="AF7" s="308" t="s">
        <v>20</v>
      </c>
      <c r="AG7" s="308" t="s">
        <v>21</v>
      </c>
      <c r="AH7" s="309"/>
      <c r="AI7" s="311" t="s">
        <v>22</v>
      </c>
      <c r="AJ7" s="309"/>
    </row>
    <row r="8" spans="3:36" ht="20.25" customHeight="1">
      <c r="C8" s="96"/>
      <c r="E8" s="291" t="s">
        <v>24</v>
      </c>
      <c r="F8" s="292"/>
      <c r="G8" s="292"/>
      <c r="H8" s="293"/>
      <c r="I8" s="293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9"/>
      <c r="AB8" s="312"/>
      <c r="AD8" s="313"/>
      <c r="AE8" s="312"/>
      <c r="AF8" s="312"/>
      <c r="AG8" s="312"/>
      <c r="AI8" s="314"/>
    </row>
    <row r="9" spans="3:36" ht="20.25" customHeight="1">
      <c r="C9" s="96"/>
      <c r="E9" s="294"/>
      <c r="F9" s="295"/>
      <c r="G9" s="295"/>
      <c r="H9" s="296"/>
      <c r="I9" s="296"/>
      <c r="J9" s="110"/>
      <c r="K9" s="110"/>
      <c r="L9" s="110"/>
      <c r="M9" s="110"/>
      <c r="N9" s="110"/>
      <c r="O9" s="110"/>
      <c r="P9" s="111"/>
      <c r="Q9" s="111">
        <v>0</v>
      </c>
      <c r="R9" s="111">
        <v>0</v>
      </c>
      <c r="S9" s="111">
        <v>0</v>
      </c>
      <c r="T9" s="111">
        <v>0</v>
      </c>
      <c r="U9" s="111">
        <v>0</v>
      </c>
      <c r="V9" s="111">
        <v>0</v>
      </c>
      <c r="W9" s="111"/>
      <c r="X9" s="111">
        <v>0</v>
      </c>
      <c r="Y9" s="111">
        <v>0</v>
      </c>
      <c r="Z9" s="111">
        <v>0</v>
      </c>
      <c r="AA9" s="112">
        <v>0</v>
      </c>
      <c r="AB9" s="315"/>
      <c r="AD9" s="356"/>
      <c r="AE9" s="357"/>
      <c r="AF9" s="316"/>
      <c r="AG9" s="316"/>
      <c r="AI9" s="317"/>
    </row>
    <row r="10" spans="3:36" s="90" customFormat="1" ht="20.25" customHeight="1">
      <c r="C10" s="91"/>
      <c r="E10" s="297" t="s">
        <v>25</v>
      </c>
      <c r="F10" s="298" t="s">
        <v>26</v>
      </c>
      <c r="G10" s="298"/>
      <c r="H10" s="299"/>
      <c r="I10" s="299"/>
      <c r="J10" s="115"/>
      <c r="K10" s="115"/>
      <c r="L10" s="116"/>
      <c r="M10" s="116"/>
      <c r="N10" s="116"/>
      <c r="O10" s="116"/>
      <c r="P10" s="117"/>
      <c r="Q10" s="118"/>
      <c r="R10" s="118"/>
      <c r="S10" s="118"/>
      <c r="T10" s="118"/>
      <c r="U10" s="118"/>
      <c r="V10" s="118"/>
      <c r="W10" s="117"/>
      <c r="X10" s="118"/>
      <c r="Y10" s="118"/>
      <c r="Z10" s="118"/>
      <c r="AA10" s="119"/>
      <c r="AB10" s="318"/>
      <c r="AC10" s="303"/>
      <c r="AD10" s="356"/>
      <c r="AE10" s="357"/>
      <c r="AF10" s="316"/>
      <c r="AG10" s="316"/>
      <c r="AH10" s="303"/>
      <c r="AI10" s="317"/>
      <c r="AJ10" s="303"/>
    </row>
    <row r="11" spans="3:36" ht="20.25" customHeight="1">
      <c r="C11" s="91"/>
      <c r="E11" s="300" t="s">
        <v>27</v>
      </c>
      <c r="F11" s="301" t="s">
        <v>28</v>
      </c>
      <c r="G11" s="301"/>
      <c r="H11" s="296">
        <v>137316</v>
      </c>
      <c r="I11" s="296">
        <v>48145</v>
      </c>
      <c r="J11" s="110" t="e">
        <f>ROUND((1+0)*(SUMIF(#REF!,RECAP!J$7,#REF!)),0)</f>
        <v>#REF!</v>
      </c>
      <c r="K11" s="110" t="e">
        <f>ROUND((1+0)*(SUMIF(#REF!,RECAP!K$7,#REF!)),0)</f>
        <v>#REF!</v>
      </c>
      <c r="L11" s="110" t="e">
        <f>ROUND((1+0)*(SUMIF(#REF!,RECAP!L$7,#REF!)),0)</f>
        <v>#REF!</v>
      </c>
      <c r="M11" s="110" t="e">
        <f>ROUND((1+0)*(SUMIF(#REF!,RECAP!M$7,#REF!)),0)</f>
        <v>#REF!</v>
      </c>
      <c r="N11" s="110" t="e">
        <f>ROUND((1+0)*(SUMIF(#REF!,RECAP!N$7,#REF!)),0)</f>
        <v>#REF!</v>
      </c>
      <c r="O11" s="110" t="e">
        <f>ROUND((1+0)*(SUMIF(#REF!,RECAP!O$7,#REF!)),0)</f>
        <v>#REF!</v>
      </c>
      <c r="P11" s="110" t="e">
        <f>ROUND((1+0)*(SUMIF(#REF!,RECAP!P$7,#REF!)),0)</f>
        <v>#REF!</v>
      </c>
      <c r="Q11" s="110" t="e">
        <f>ROUND((1+0)*(SUMIF(#REF!,RECAP!Q$7,#REF!)),0)</f>
        <v>#REF!</v>
      </c>
      <c r="R11" s="110" t="e">
        <f>ROUND((1+0)*(SUMIF(#REF!,RECAP!R$7,#REF!)),0)</f>
        <v>#REF!</v>
      </c>
      <c r="S11" s="110" t="e">
        <f>ROUND((1+0)*(SUMIF(#REF!,RECAP!S$7,#REF!)),0)</f>
        <v>#REF!</v>
      </c>
      <c r="T11" s="110" t="e">
        <f>ROUND((1+0)*(SUMIF(#REF!,RECAP!T$7,#REF!)),0)</f>
        <v>#REF!</v>
      </c>
      <c r="U11" s="110" t="e">
        <f>ROUND((1+0)*(SUMIF(#REF!,RECAP!U$7,#REF!)),0)</f>
        <v>#REF!</v>
      </c>
      <c r="V11" s="110" t="e">
        <f>ROUND((1+0)*(SUMIF(#REF!,RECAP!V$7,#REF!)),0)</f>
        <v>#REF!</v>
      </c>
      <c r="W11" s="110" t="e">
        <f>ROUND((1+0)*(SUMIF(#REF!,RECAP!W$7,#REF!)),0)</f>
        <v>#REF!</v>
      </c>
      <c r="X11" s="110" t="e">
        <f>ROUND((1+0)*(SUMIF(#REF!,RECAP!X$7,#REF!)),0)</f>
        <v>#REF!</v>
      </c>
      <c r="Y11" s="110" t="e">
        <f>ROUND((1+0)*(SUMIF(#REF!,RECAP!Y$7,#REF!)),0)</f>
        <v>#REF!</v>
      </c>
      <c r="Z11" s="110" t="e">
        <f>ROUND((1+0)*(SUMIF(#REF!,RECAP!Z$7,#REF!)),0)</f>
        <v>#REF!</v>
      </c>
      <c r="AA11" s="114" t="e">
        <f>ROUND((1+0)*(SUMIF(#REF!,RECAP!AA$7,#REF!)),0)</f>
        <v>#REF!</v>
      </c>
      <c r="AB11" s="316">
        <f>I11+H11</f>
        <v>185461</v>
      </c>
      <c r="AD11" s="356" t="e">
        <f>ROUND((1+0)*#REF!,0)</f>
        <v>#REF!</v>
      </c>
      <c r="AE11" s="357" t="e">
        <f>#REF!</f>
        <v>#REF!</v>
      </c>
      <c r="AF11" s="316" t="e">
        <f>ROUND((1+0)*#REF!,0)</f>
        <v>#REF!</v>
      </c>
      <c r="AG11" s="316" t="e">
        <f>#REF!</f>
        <v>#REF!</v>
      </c>
      <c r="AI11" s="317"/>
    </row>
    <row r="12" spans="3:36" ht="20.25" customHeight="1">
      <c r="C12" s="91" t="s">
        <v>29</v>
      </c>
      <c r="E12" s="128"/>
      <c r="F12" s="301" t="s">
        <v>30</v>
      </c>
      <c r="G12" s="113"/>
      <c r="H12" s="110">
        <v>0</v>
      </c>
      <c r="I12" s="110">
        <v>0</v>
      </c>
      <c r="J12" s="110" t="e">
        <f>ROUND((1+0)*(SUMIF(#REF!,RECAP!J$7,#REF!)),0)</f>
        <v>#REF!</v>
      </c>
      <c r="K12" s="110" t="e">
        <f>ROUND((1+0)*(SUMIF(#REF!,RECAP!K$7,#REF!)),0)</f>
        <v>#REF!</v>
      </c>
      <c r="L12" s="110" t="e">
        <f>ROUND((1+0)*(SUMIF(#REF!,RECAP!L$7,#REF!)),0)</f>
        <v>#REF!</v>
      </c>
      <c r="M12" s="110" t="e">
        <f>ROUND((1+0)*(SUMIF(#REF!,RECAP!M$7,#REF!)),0)</f>
        <v>#REF!</v>
      </c>
      <c r="N12" s="110" t="e">
        <f>ROUND((1+0)*(SUMIF(#REF!,RECAP!N$7,#REF!)),0)</f>
        <v>#REF!</v>
      </c>
      <c r="O12" s="110" t="e">
        <f>ROUND((1+0)*(SUMIF(#REF!,RECAP!O$7,#REF!)),0)</f>
        <v>#REF!</v>
      </c>
      <c r="P12" s="110" t="e">
        <f>ROUND((1+0)*(SUMIF(#REF!,RECAP!P$7,#REF!)),0)</f>
        <v>#REF!</v>
      </c>
      <c r="Q12" s="110" t="e">
        <f>ROUND((1+0)*(SUMIF(#REF!,RECAP!Q$7,#REF!)),0)</f>
        <v>#REF!</v>
      </c>
      <c r="R12" s="110" t="e">
        <f>ROUND((1+0)*(SUMIF(#REF!,RECAP!R$7,#REF!)),0)</f>
        <v>#REF!</v>
      </c>
      <c r="S12" s="110" t="e">
        <f>ROUND((1+0)*(SUMIF(#REF!,RECAP!S$7,#REF!)),0)</f>
        <v>#REF!</v>
      </c>
      <c r="T12" s="110" t="e">
        <f>ROUND((1+0)*(SUMIF(#REF!,RECAP!T$7,#REF!)),0)</f>
        <v>#REF!</v>
      </c>
      <c r="U12" s="110" t="e">
        <f>ROUND((1+0)*(SUMIF(#REF!,RECAP!U$7,#REF!)),0)</f>
        <v>#REF!</v>
      </c>
      <c r="V12" s="110" t="e">
        <f>ROUND((1+0)*(SUMIF(#REF!,RECAP!V$7,#REF!)),0)</f>
        <v>#REF!</v>
      </c>
      <c r="W12" s="110" t="e">
        <f>ROUND((1+0)*(SUMIF(#REF!,RECAP!W$7,#REF!)),0)</f>
        <v>#REF!</v>
      </c>
      <c r="X12" s="110" t="e">
        <f>ROUND((1+0)*(SUMIF(#REF!,RECAP!X$7,#REF!)),0)</f>
        <v>#REF!</v>
      </c>
      <c r="Y12" s="110" t="e">
        <f>ROUND((1+0)*(SUMIF(#REF!,RECAP!Y$7,#REF!)),0)</f>
        <v>#REF!</v>
      </c>
      <c r="Z12" s="110" t="e">
        <f>ROUND((1+0)*(SUMIF(#REF!,RECAP!Z$7,#REF!)),0)</f>
        <v>#REF!</v>
      </c>
      <c r="AA12" s="114" t="e">
        <f>ROUND((1+0)*(SUMIF(#REF!,RECAP!AA$7,#REF!)),0)</f>
        <v>#REF!</v>
      </c>
      <c r="AB12" s="316">
        <f>I12+H12</f>
        <v>0</v>
      </c>
      <c r="AC12" s="84"/>
      <c r="AD12" s="356" t="e">
        <f>ROUND((1+0)*#REF!,0)</f>
        <v>#REF!</v>
      </c>
      <c r="AE12" s="357" t="e">
        <f>#REF!</f>
        <v>#REF!</v>
      </c>
      <c r="AF12" s="97" t="e">
        <f>ROUND((1+0)*#REF!,0)</f>
        <v>#REF!</v>
      </c>
      <c r="AG12" s="97" t="e">
        <f>#REF!</f>
        <v>#REF!</v>
      </c>
      <c r="AH12" s="84"/>
      <c r="AI12" s="98"/>
      <c r="AJ12" s="84"/>
    </row>
    <row r="13" spans="3:36" s="90" customFormat="1" ht="20.25" customHeight="1">
      <c r="C13" s="91"/>
      <c r="E13" s="297" t="s">
        <v>31</v>
      </c>
      <c r="F13" s="298" t="s">
        <v>32</v>
      </c>
      <c r="G13" s="298"/>
      <c r="H13" s="299"/>
      <c r="I13" s="299"/>
      <c r="J13" s="115"/>
      <c r="K13" s="115"/>
      <c r="L13" s="116"/>
      <c r="M13" s="116"/>
      <c r="N13" s="116"/>
      <c r="O13" s="116"/>
      <c r="P13" s="117"/>
      <c r="Q13" s="118"/>
      <c r="R13" s="118"/>
      <c r="S13" s="118"/>
      <c r="T13" s="118"/>
      <c r="U13" s="118"/>
      <c r="V13" s="118"/>
      <c r="W13" s="117"/>
      <c r="X13" s="118"/>
      <c r="Y13" s="118"/>
      <c r="Z13" s="118"/>
      <c r="AA13" s="119"/>
      <c r="AB13" s="318"/>
      <c r="AC13" s="303"/>
      <c r="AD13" s="356"/>
      <c r="AE13" s="357"/>
      <c r="AF13" s="316"/>
      <c r="AG13" s="316"/>
      <c r="AH13" s="303"/>
      <c r="AI13" s="317"/>
      <c r="AJ13" s="303"/>
    </row>
    <row r="14" spans="3:36" ht="20" customHeight="1">
      <c r="C14" s="91"/>
      <c r="E14" s="300" t="s">
        <v>33</v>
      </c>
      <c r="F14" s="301" t="s">
        <v>34</v>
      </c>
      <c r="G14" s="301"/>
      <c r="H14" s="296">
        <v>787492</v>
      </c>
      <c r="I14" s="296">
        <v>0</v>
      </c>
      <c r="J14" s="296" t="e">
        <f>ROUND((1+SDI_COW)*(SUMIF(#REF!,RECAP!J$7,#REF!)),0)</f>
        <v>#REF!</v>
      </c>
      <c r="K14" s="110" t="e">
        <f>ROUND((1+SDI_COW)*(SUMIF(#REF!,RECAP!K$7,#REF!)),0)</f>
        <v>#REF!</v>
      </c>
      <c r="L14" s="110" t="e">
        <f>ROUND((1+SDI_COW)*(SUMIF(#REF!,RECAP!L$7,#REF!)),0)</f>
        <v>#REF!</v>
      </c>
      <c r="M14" s="110" t="e">
        <f>ROUND((1+SDI_COW)*(SUMIF(#REF!,RECAP!M$7,#REF!)),0)</f>
        <v>#REF!</v>
      </c>
      <c r="N14" s="110" t="e">
        <f>ROUND((1+SDI_COW)*(SUMIF(#REF!,RECAP!N$7,#REF!)),0)</f>
        <v>#REF!</v>
      </c>
      <c r="O14" s="110" t="e">
        <f>ROUND((1+SDI_COW)*(SUMIF(#REF!,RECAP!O$7,#REF!)),0)</f>
        <v>#REF!</v>
      </c>
      <c r="P14" s="110" t="e">
        <f>ROUND((1+SDI_COW)*(SUMIF(#REF!,RECAP!P$7,#REF!)),0)</f>
        <v>#REF!</v>
      </c>
      <c r="Q14" s="110" t="e">
        <f>ROUND((1+SDI_COW)*(SUMIF(#REF!,RECAP!Q$7,#REF!)),0)</f>
        <v>#REF!</v>
      </c>
      <c r="R14" s="110" t="e">
        <f>ROUND((1+SDI_COW)*(SUMIF(#REF!,RECAP!R$7,#REF!)),0)</f>
        <v>#REF!</v>
      </c>
      <c r="S14" s="110" t="e">
        <f>ROUND((1+SDI_COW)*(SUMIF(#REF!,RECAP!S$7,#REF!)),0)</f>
        <v>#REF!</v>
      </c>
      <c r="T14" s="110" t="e">
        <f>ROUND((1+SDI_COW)*(SUMIF(#REF!,RECAP!T$7,#REF!)),0)</f>
        <v>#REF!</v>
      </c>
      <c r="U14" s="110" t="e">
        <f>ROUND((1+SDI_COW)*(SUMIF(#REF!,RECAP!U$7,#REF!)),0)</f>
        <v>#REF!</v>
      </c>
      <c r="V14" s="110" t="e">
        <f>ROUND((1+SDI_COW)*(SUMIF(#REF!,RECAP!V$7,#REF!)),0)</f>
        <v>#REF!</v>
      </c>
      <c r="W14" s="110" t="e">
        <f>ROUND((1+SDI_COW)*(SUMIF(#REF!,RECAP!W$7,#REF!)),0)</f>
        <v>#REF!</v>
      </c>
      <c r="X14" s="110" t="e">
        <f>ROUND((1+SDI_COW)*(SUMIF(#REF!,RECAP!X$7,#REF!)),0)</f>
        <v>#REF!</v>
      </c>
      <c r="Y14" s="110" t="e">
        <f>ROUND((1+SDI_COW)*(SUMIF(#REF!,RECAP!Y$7,#REF!)),0)</f>
        <v>#REF!</v>
      </c>
      <c r="Z14" s="110" t="e">
        <f>ROUND((1+SDI_COW)*(SUMIF(#REF!,RECAP!Z$7,#REF!)),0)</f>
        <v>#REF!</v>
      </c>
      <c r="AA14" s="114" t="e">
        <f>ROUND((1+SDI_COW)*(SUMIF(#REF!,RECAP!AA$7,#REF!)),0)</f>
        <v>#REF!</v>
      </c>
      <c r="AB14" s="316">
        <f>H14+I14</f>
        <v>787492</v>
      </c>
      <c r="AD14" s="356" t="e">
        <f>ROUND((1+SDI_COW)*#REF!,0)</f>
        <v>#REF!</v>
      </c>
      <c r="AE14" s="357" t="e">
        <f>#REF!</f>
        <v>#REF!</v>
      </c>
      <c r="AF14" s="316" t="e">
        <f>ROUND((1+SDI_COW)*#REF!,0)</f>
        <v>#REF!</v>
      </c>
      <c r="AG14" s="316" t="e">
        <f>#REF!</f>
        <v>#REF!</v>
      </c>
      <c r="AI14" s="317"/>
    </row>
    <row r="15" spans="3:36" ht="20.25" customHeight="1">
      <c r="C15" s="91"/>
      <c r="E15" s="300" t="s">
        <v>35</v>
      </c>
      <c r="F15" s="301" t="s">
        <v>36</v>
      </c>
      <c r="G15" s="301"/>
      <c r="H15" s="296">
        <v>4629</v>
      </c>
      <c r="I15" s="296">
        <v>0</v>
      </c>
      <c r="J15" s="296" t="e">
        <f>ROUND((1+SDI_COW)*(SUMIF(#REF!,RECAP!J$7,#REF!)),0)</f>
        <v>#REF!</v>
      </c>
      <c r="K15" s="110" t="e">
        <f>ROUND((1+SDI_COW)*(SUMIF(#REF!,RECAP!K$7,#REF!)),0)</f>
        <v>#REF!</v>
      </c>
      <c r="L15" s="110" t="e">
        <f>ROUND((1+SDI_COW)*(SUMIF(#REF!,RECAP!L$7,#REF!)),0)</f>
        <v>#REF!</v>
      </c>
      <c r="M15" s="110" t="e">
        <f>ROUND((1+SDI_COW)*(SUMIF(#REF!,RECAP!M$7,#REF!)),0)</f>
        <v>#REF!</v>
      </c>
      <c r="N15" s="110" t="e">
        <f>ROUND((1+SDI_COW)*(SUMIF(#REF!,RECAP!N$7,#REF!)),0)</f>
        <v>#REF!</v>
      </c>
      <c r="O15" s="110" t="e">
        <f>ROUND((1+SDI_COW)*(SUMIF(#REF!,RECAP!O$7,#REF!)),0)</f>
        <v>#REF!</v>
      </c>
      <c r="P15" s="110" t="e">
        <f>ROUND((1+SDI_COW)*(SUMIF(#REF!,RECAP!P$7,#REF!)),0)</f>
        <v>#REF!</v>
      </c>
      <c r="Q15" s="110" t="e">
        <f>ROUND((1+SDI_COW)*(SUMIF(#REF!,RECAP!Q$7,#REF!)),0)</f>
        <v>#REF!</v>
      </c>
      <c r="R15" s="110" t="e">
        <f>ROUND((1+SDI_COW)*(SUMIF(#REF!,RECAP!R$7,#REF!)),0)</f>
        <v>#REF!</v>
      </c>
      <c r="S15" s="110" t="e">
        <f>ROUND((1+SDI_COW)*(SUMIF(#REF!,RECAP!S$7,#REF!)),0)</f>
        <v>#REF!</v>
      </c>
      <c r="T15" s="110" t="e">
        <f>ROUND((1+SDI_COW)*(SUMIF(#REF!,RECAP!T$7,#REF!)),0)</f>
        <v>#REF!</v>
      </c>
      <c r="U15" s="110" t="e">
        <f>ROUND((1+SDI_COW)*(SUMIF(#REF!,RECAP!U$7,#REF!)),0)</f>
        <v>#REF!</v>
      </c>
      <c r="V15" s="110" t="e">
        <f>ROUND((1+SDI_COW)*(SUMIF(#REF!,RECAP!V$7,#REF!)),0)</f>
        <v>#REF!</v>
      </c>
      <c r="W15" s="110" t="e">
        <f>ROUND((1+SDI_COW)*(SUMIF(#REF!,RECAP!W$7,#REF!)),0)</f>
        <v>#REF!</v>
      </c>
      <c r="X15" s="110" t="e">
        <f>ROUND((1+SDI_COW)*(SUMIF(#REF!,RECAP!X$7,#REF!)),0)</f>
        <v>#REF!</v>
      </c>
      <c r="Y15" s="110" t="e">
        <f>ROUND((1+SDI_COW)*(SUMIF(#REF!,RECAP!Y$7,#REF!)),0)</f>
        <v>#REF!</v>
      </c>
      <c r="Z15" s="110" t="e">
        <f>ROUND((1+SDI_COW)*(SUMIF(#REF!,RECAP!Z$7,#REF!)),0)</f>
        <v>#REF!</v>
      </c>
      <c r="AA15" s="114" t="e">
        <f>ROUND((1+SDI_COW)*(SUMIF(#REF!,RECAP!AA$7,#REF!)),0)</f>
        <v>#REF!</v>
      </c>
      <c r="AB15" s="316">
        <f t="shared" ref="AB15:AB20" si="0">H15+I15</f>
        <v>4629</v>
      </c>
      <c r="AD15" s="356" t="e">
        <f>ROUND((1+SDI_COW)*#REF!,0)</f>
        <v>#REF!</v>
      </c>
      <c r="AE15" s="357" t="e">
        <f>#REF!</f>
        <v>#REF!</v>
      </c>
      <c r="AF15" s="316" t="e">
        <f>ROUND((1+SDI_COW)*#REF!,0)</f>
        <v>#REF!</v>
      </c>
      <c r="AG15" s="316" t="e">
        <f>#REF!</f>
        <v>#REF!</v>
      </c>
      <c r="AI15" s="317"/>
    </row>
    <row r="16" spans="3:36" ht="20.25" customHeight="1">
      <c r="C16" s="91"/>
      <c r="E16" s="300" t="s">
        <v>37</v>
      </c>
      <c r="F16" s="301" t="s">
        <v>38</v>
      </c>
      <c r="G16" s="301"/>
      <c r="H16" s="296">
        <v>711735</v>
      </c>
      <c r="I16" s="296">
        <v>0</v>
      </c>
      <c r="J16" s="296" t="e">
        <f>ROUND((1+SDI_COW)*(SUMIF(#REF!,RECAP!J$7,#REF!)),0)</f>
        <v>#REF!</v>
      </c>
      <c r="K16" s="110" t="e">
        <f>ROUND((1+SDI_COW)*(SUMIF(#REF!,RECAP!K$7,#REF!)),0)</f>
        <v>#REF!</v>
      </c>
      <c r="L16" s="110" t="e">
        <f>ROUND((1+SDI_COW)*(SUMIF(#REF!,RECAP!L$7,#REF!)),0)</f>
        <v>#REF!</v>
      </c>
      <c r="M16" s="110" t="e">
        <f>ROUND((1+SDI_COW)*(SUMIF(#REF!,RECAP!M$7,#REF!)),0)</f>
        <v>#REF!</v>
      </c>
      <c r="N16" s="110" t="e">
        <f>ROUND((1+SDI_COW)*(SUMIF(#REF!,RECAP!N$7,#REF!)),0)</f>
        <v>#REF!</v>
      </c>
      <c r="O16" s="110" t="e">
        <f>ROUND((1+SDI_COW)*(SUMIF(#REF!,RECAP!O$7,#REF!)),0)</f>
        <v>#REF!</v>
      </c>
      <c r="P16" s="110" t="e">
        <f>ROUND((1+SDI_COW)*(SUMIF(#REF!,RECAP!P$7,#REF!)),0)</f>
        <v>#REF!</v>
      </c>
      <c r="Q16" s="110" t="e">
        <f>ROUND((1+SDI_COW)*(SUMIF(#REF!,RECAP!Q$7,#REF!)),0)</f>
        <v>#REF!</v>
      </c>
      <c r="R16" s="110" t="e">
        <f>ROUND((1+SDI_COW)*(SUMIF(#REF!,RECAP!R$7,#REF!)),0)</f>
        <v>#REF!</v>
      </c>
      <c r="S16" s="110" t="e">
        <f>ROUND((1+SDI_COW)*(SUMIF(#REF!,RECAP!S$7,#REF!)),0)</f>
        <v>#REF!</v>
      </c>
      <c r="T16" s="110" t="e">
        <f>ROUND((1+SDI_COW)*(SUMIF(#REF!,RECAP!T$7,#REF!)),0)</f>
        <v>#REF!</v>
      </c>
      <c r="U16" s="110" t="e">
        <f>ROUND((1+SDI_COW)*(SUMIF(#REF!,RECAP!U$7,#REF!)),0)</f>
        <v>#REF!</v>
      </c>
      <c r="V16" s="110" t="e">
        <f>ROUND((1+SDI_COW)*(SUMIF(#REF!,RECAP!V$7,#REF!)),0)</f>
        <v>#REF!</v>
      </c>
      <c r="W16" s="110" t="e">
        <f>ROUND((1+SDI_COW)*(SUMIF(#REF!,RECAP!W$7,#REF!)),0)</f>
        <v>#REF!</v>
      </c>
      <c r="X16" s="110" t="e">
        <f>ROUND((1+SDI_COW)*(SUMIF(#REF!,RECAP!X$7,#REF!)),0)</f>
        <v>#REF!</v>
      </c>
      <c r="Y16" s="110" t="e">
        <f>ROUND((1+SDI_COW)*(SUMIF(#REF!,RECAP!Y$7,#REF!)),0)</f>
        <v>#REF!</v>
      </c>
      <c r="Z16" s="110" t="e">
        <f>ROUND((1+SDI_COW)*(SUMIF(#REF!,RECAP!Z$7,#REF!)),0)</f>
        <v>#REF!</v>
      </c>
      <c r="AA16" s="114" t="e">
        <f>ROUND((1+SDI_COW)*(SUMIF(#REF!,RECAP!AA$7,#REF!)),0)</f>
        <v>#REF!</v>
      </c>
      <c r="AB16" s="316">
        <f t="shared" si="0"/>
        <v>711735</v>
      </c>
      <c r="AD16" s="356" t="e">
        <f>ROUND((1+SDI_COW)*#REF!,0)</f>
        <v>#REF!</v>
      </c>
      <c r="AE16" s="357" t="e">
        <f>#REF!</f>
        <v>#REF!</v>
      </c>
      <c r="AF16" s="316" t="e">
        <f>ROUND((1+SDI_COW)*#REF!,0)</f>
        <v>#REF!</v>
      </c>
      <c r="AG16" s="316" t="e">
        <f>#REF!</f>
        <v>#REF!</v>
      </c>
      <c r="AI16" s="317"/>
    </row>
    <row r="17" spans="3:36" ht="20.25" customHeight="1">
      <c r="C17" s="91"/>
      <c r="E17" s="300" t="s">
        <v>39</v>
      </c>
      <c r="F17" s="301" t="s">
        <v>40</v>
      </c>
      <c r="G17" s="301"/>
      <c r="H17" s="296">
        <v>23055</v>
      </c>
      <c r="I17" s="296">
        <v>0</v>
      </c>
      <c r="J17" s="296" t="e">
        <f>ROUND((1+SDI_COW)*(SUMIF(#REF!,RECAP!J$7,#REF!)),0)</f>
        <v>#REF!</v>
      </c>
      <c r="K17" s="110" t="e">
        <f>ROUND((1+SDI_COW)*(SUMIF(#REF!,RECAP!K$7,#REF!)),0)</f>
        <v>#REF!</v>
      </c>
      <c r="L17" s="110" t="e">
        <f>ROUND((1+SDI_COW)*(SUMIF(#REF!,RECAP!L$7,#REF!)),0)</f>
        <v>#REF!</v>
      </c>
      <c r="M17" s="110" t="e">
        <f>ROUND((1+SDI_COW)*(SUMIF(#REF!,RECAP!M$7,#REF!)),0)</f>
        <v>#REF!</v>
      </c>
      <c r="N17" s="110" t="e">
        <f>ROUND((1+SDI_COW)*(SUMIF(#REF!,RECAP!N$7,#REF!)),0)</f>
        <v>#REF!</v>
      </c>
      <c r="O17" s="110" t="e">
        <f>ROUND((1+SDI_COW)*(SUMIF(#REF!,RECAP!O$7,#REF!)),0)</f>
        <v>#REF!</v>
      </c>
      <c r="P17" s="110" t="e">
        <f>ROUND((1+SDI_COW)*(SUMIF(#REF!,RECAP!P$7,#REF!)),0)</f>
        <v>#REF!</v>
      </c>
      <c r="Q17" s="110" t="e">
        <f>ROUND((1+SDI_COW)*(SUMIF(#REF!,RECAP!Q$7,#REF!)),0)</f>
        <v>#REF!</v>
      </c>
      <c r="R17" s="110" t="e">
        <f>ROUND((1+SDI_COW)*(SUMIF(#REF!,RECAP!R$7,#REF!)),0)</f>
        <v>#REF!</v>
      </c>
      <c r="S17" s="110" t="e">
        <f>ROUND((1+SDI_COW)*(SUMIF(#REF!,RECAP!S$7,#REF!)),0)</f>
        <v>#REF!</v>
      </c>
      <c r="T17" s="110" t="e">
        <f>ROUND((1+SDI_COW)*(SUMIF(#REF!,RECAP!T$7,#REF!)),0)</f>
        <v>#REF!</v>
      </c>
      <c r="U17" s="110" t="e">
        <f>ROUND((1+SDI_COW)*(SUMIF(#REF!,RECAP!U$7,#REF!)),0)</f>
        <v>#REF!</v>
      </c>
      <c r="V17" s="110" t="e">
        <f>ROUND((1+SDI_COW)*(SUMIF(#REF!,RECAP!V$7,#REF!)),0)</f>
        <v>#REF!</v>
      </c>
      <c r="W17" s="110" t="e">
        <f>ROUND((1+SDI_COW)*(SUMIF(#REF!,RECAP!W$7,#REF!)),0)</f>
        <v>#REF!</v>
      </c>
      <c r="X17" s="110" t="e">
        <f>ROUND((1+SDI_COW)*(SUMIF(#REF!,RECAP!X$7,#REF!)),0)</f>
        <v>#REF!</v>
      </c>
      <c r="Y17" s="110" t="e">
        <f>ROUND((1+SDI_COW)*(SUMIF(#REF!,RECAP!Y$7,#REF!)),0)</f>
        <v>#REF!</v>
      </c>
      <c r="Z17" s="110" t="e">
        <f>ROUND((1+SDI_COW)*(SUMIF(#REF!,RECAP!Z$7,#REF!)),0)</f>
        <v>#REF!</v>
      </c>
      <c r="AA17" s="114" t="e">
        <f>ROUND((1+SDI_COW)*(SUMIF(#REF!,RECAP!AA$7,#REF!)),0)</f>
        <v>#REF!</v>
      </c>
      <c r="AB17" s="316">
        <f t="shared" si="0"/>
        <v>23055</v>
      </c>
      <c r="AD17" s="356" t="e">
        <f>ROUND((1+SDI_COW)*#REF!,0)</f>
        <v>#REF!</v>
      </c>
      <c r="AE17" s="357" t="e">
        <f>#REF!</f>
        <v>#REF!</v>
      </c>
      <c r="AF17" s="316" t="e">
        <f>ROUND((1+SDI_COW)*#REF!,0)</f>
        <v>#REF!</v>
      </c>
      <c r="AG17" s="316" t="e">
        <f>#REF!</f>
        <v>#REF!</v>
      </c>
      <c r="AI17" s="317"/>
    </row>
    <row r="18" spans="3:36" ht="20.5" customHeight="1">
      <c r="C18" s="91"/>
      <c r="E18" s="300" t="s">
        <v>41</v>
      </c>
      <c r="F18" s="301" t="s">
        <v>42</v>
      </c>
      <c r="G18" s="301"/>
      <c r="H18" s="296">
        <v>485775</v>
      </c>
      <c r="I18" s="296">
        <v>0</v>
      </c>
      <c r="J18" s="296" t="e">
        <f>ROUND((1+SDI_COW)*(SUMIF(#REF!,RECAP!J$7,#REF!)),0)</f>
        <v>#REF!</v>
      </c>
      <c r="K18" s="110" t="e">
        <f>ROUND((1+SDI_COW)*(SUMIF(#REF!,RECAP!K$7,#REF!)),0)</f>
        <v>#REF!</v>
      </c>
      <c r="L18" s="110" t="e">
        <f>ROUND((1+SDI_COW)*(SUMIF(#REF!,RECAP!L$7,#REF!)),0)</f>
        <v>#REF!</v>
      </c>
      <c r="M18" s="110" t="e">
        <f>ROUND((1+SDI_COW)*(SUMIF(#REF!,RECAP!M$7,#REF!)),0)</f>
        <v>#REF!</v>
      </c>
      <c r="N18" s="110" t="e">
        <f>ROUND((1+SDI_COW)*(SUMIF(#REF!,RECAP!N$7,#REF!)),0)</f>
        <v>#REF!</v>
      </c>
      <c r="O18" s="110" t="e">
        <f>ROUND((1+SDI_COW)*(SUMIF(#REF!,RECAP!O$7,#REF!)),0)</f>
        <v>#REF!</v>
      </c>
      <c r="P18" s="110" t="e">
        <f>ROUND((1+SDI_COW)*(SUMIF(#REF!,RECAP!P$7,#REF!)),0)</f>
        <v>#REF!</v>
      </c>
      <c r="Q18" s="110" t="e">
        <f>ROUND((1+SDI_COW)*(SUMIF(#REF!,RECAP!Q$7,#REF!)),0)</f>
        <v>#REF!</v>
      </c>
      <c r="R18" s="110" t="e">
        <f>ROUND((1+SDI_COW)*(SUMIF(#REF!,RECAP!R$7,#REF!)),0)</f>
        <v>#REF!</v>
      </c>
      <c r="S18" s="110" t="e">
        <f>ROUND((1+SDI_COW)*(SUMIF(#REF!,RECAP!S$7,#REF!)),0)</f>
        <v>#REF!</v>
      </c>
      <c r="T18" s="110" t="e">
        <f>ROUND((1+SDI_COW)*(SUMIF(#REF!,RECAP!T$7,#REF!)),0)</f>
        <v>#REF!</v>
      </c>
      <c r="U18" s="110" t="e">
        <f>ROUND((1+SDI_COW)*(SUMIF(#REF!,RECAP!U$7,#REF!)),0)</f>
        <v>#REF!</v>
      </c>
      <c r="V18" s="110" t="e">
        <f>ROUND((1+SDI_COW)*(SUMIF(#REF!,RECAP!V$7,#REF!)),0)</f>
        <v>#REF!</v>
      </c>
      <c r="W18" s="110" t="e">
        <f>ROUND((1+SDI_COW)*(SUMIF(#REF!,RECAP!W$7,#REF!)),0)</f>
        <v>#REF!</v>
      </c>
      <c r="X18" s="110" t="e">
        <f>ROUND((1+SDI_COW)*(SUMIF(#REF!,RECAP!X$7,#REF!)),0)</f>
        <v>#REF!</v>
      </c>
      <c r="Y18" s="110" t="e">
        <f>ROUND((1+SDI_COW)*(SUMIF(#REF!,RECAP!Y$7,#REF!)),0)</f>
        <v>#REF!</v>
      </c>
      <c r="Z18" s="110" t="e">
        <f>ROUND((1+SDI_COW)*(SUMIF(#REF!,RECAP!Z$7,#REF!)),0)</f>
        <v>#REF!</v>
      </c>
      <c r="AA18" s="114" t="e">
        <f>ROUND((1+SDI_COW)*(SUMIF(#REF!,RECAP!AA$7,#REF!)),0)</f>
        <v>#REF!</v>
      </c>
      <c r="AB18" s="316">
        <f t="shared" si="0"/>
        <v>485775</v>
      </c>
      <c r="AC18" s="84"/>
      <c r="AD18" s="368" t="e">
        <f>ROUND((1+SDI_COW)*#REF!,0)</f>
        <v>#REF!</v>
      </c>
      <c r="AE18" s="369" t="e">
        <f>#REF!</f>
        <v>#REF!</v>
      </c>
      <c r="AF18" s="97" t="e">
        <f>ROUND((1+SDI_COW)*#REF!,0)</f>
        <v>#REF!</v>
      </c>
      <c r="AG18" s="97" t="e">
        <f>#REF!</f>
        <v>#REF!</v>
      </c>
      <c r="AH18" s="84"/>
      <c r="AI18" s="98"/>
      <c r="AJ18" s="84"/>
    </row>
    <row r="19" spans="3:36" ht="25.5" customHeight="1">
      <c r="C19" s="91"/>
      <c r="E19" s="300" t="s">
        <v>43</v>
      </c>
      <c r="F19" s="301" t="s">
        <v>44</v>
      </c>
      <c r="G19" s="113"/>
      <c r="H19" s="296">
        <v>0</v>
      </c>
      <c r="I19" s="296">
        <v>0</v>
      </c>
      <c r="J19" s="296" t="e">
        <f>ROUND((1+SDI_COW)*(SUMIF(#REF!,RECAP!J$7,#REF!)),0)</f>
        <v>#REF!</v>
      </c>
      <c r="K19" s="110" t="e">
        <f>ROUND((1+SDI_COW)*(SUMIF(#REF!,RECAP!K$7,#REF!)),0)</f>
        <v>#REF!</v>
      </c>
      <c r="L19" s="110" t="e">
        <f>ROUND((1+SDI_COW)*(SUMIF(#REF!,RECAP!L$7,#REF!)),0)</f>
        <v>#REF!</v>
      </c>
      <c r="M19" s="110" t="e">
        <f>ROUND((1+SDI_COW)*(SUMIF(#REF!,RECAP!M$7,#REF!)),0)</f>
        <v>#REF!</v>
      </c>
      <c r="N19" s="110" t="e">
        <f>ROUND((1+SDI_COW)*(SUMIF(#REF!,RECAP!N$7,#REF!)),0)</f>
        <v>#REF!</v>
      </c>
      <c r="O19" s="110" t="e">
        <f>ROUND((1+SDI_COW)*(SUMIF(#REF!,RECAP!O$7,#REF!)),0)</f>
        <v>#REF!</v>
      </c>
      <c r="P19" s="110" t="e">
        <f>ROUND((1+SDI_COW)*(SUMIF(#REF!,RECAP!P$7,#REF!)),0)</f>
        <v>#REF!</v>
      </c>
      <c r="Q19" s="110" t="e">
        <f>ROUND((1+SDI_COW)*(SUMIF(#REF!,RECAP!Q$7,#REF!)),0)</f>
        <v>#REF!</v>
      </c>
      <c r="R19" s="110" t="e">
        <f>ROUND((1+SDI_COW)*(SUMIF(#REF!,RECAP!R$7,#REF!)),0)</f>
        <v>#REF!</v>
      </c>
      <c r="S19" s="110" t="e">
        <f>ROUND((1+SDI_COW)*(SUMIF(#REF!,RECAP!S$7,#REF!)),0)</f>
        <v>#REF!</v>
      </c>
      <c r="T19" s="110" t="e">
        <f>ROUND((1+SDI_COW)*(SUMIF(#REF!,RECAP!T$7,#REF!)),0)</f>
        <v>#REF!</v>
      </c>
      <c r="U19" s="110" t="e">
        <f>ROUND((1+SDI_COW)*(SUMIF(#REF!,RECAP!U$7,#REF!)),0)</f>
        <v>#REF!</v>
      </c>
      <c r="V19" s="110" t="e">
        <f>ROUND((1+SDI_COW)*(SUMIF(#REF!,RECAP!V$7,#REF!)),0)</f>
        <v>#REF!</v>
      </c>
      <c r="W19" s="110" t="e">
        <f>ROUND((1+SDI_COW)*(SUMIF(#REF!,RECAP!W$7,#REF!)),0)</f>
        <v>#REF!</v>
      </c>
      <c r="X19" s="110" t="e">
        <f>ROUND((1+SDI_COW)*(SUMIF(#REF!,RECAP!X$7,#REF!)),0)</f>
        <v>#REF!</v>
      </c>
      <c r="Y19" s="110" t="e">
        <f>ROUND((1+SDI_COW)*(SUMIF(#REF!,RECAP!Y$7,#REF!)),0)</f>
        <v>#REF!</v>
      </c>
      <c r="Z19" s="110" t="e">
        <f>ROUND((1+SDI_COW)*(SUMIF(#REF!,RECAP!Z$7,#REF!)),0)</f>
        <v>#REF!</v>
      </c>
      <c r="AA19" s="114" t="e">
        <f>ROUND((1+SDI_COW)*(SUMIF(#REF!,RECAP!AA$7,#REF!)),0)</f>
        <v>#REF!</v>
      </c>
      <c r="AB19" s="316">
        <f t="shared" si="0"/>
        <v>0</v>
      </c>
      <c r="AC19" s="84"/>
      <c r="AD19" s="368" t="e">
        <f>ROUND((1+SDI_COW)*#REF!,0)</f>
        <v>#REF!</v>
      </c>
      <c r="AE19" s="369" t="e">
        <f>#REF!</f>
        <v>#REF!</v>
      </c>
      <c r="AF19" s="97" t="e">
        <f>ROUND((1+SDI_COW)*#REF!,0)</f>
        <v>#REF!</v>
      </c>
      <c r="AG19" s="97" t="e">
        <f>#REF!</f>
        <v>#REF!</v>
      </c>
      <c r="AH19" s="84"/>
      <c r="AI19" s="98"/>
      <c r="AJ19" s="84"/>
    </row>
    <row r="20" spans="3:36" ht="20.25" customHeight="1">
      <c r="C20" s="91"/>
      <c r="E20" s="300" t="s">
        <v>45</v>
      </c>
      <c r="F20" s="301" t="s">
        <v>46</v>
      </c>
      <c r="G20" s="301"/>
      <c r="H20" s="296">
        <v>437056</v>
      </c>
      <c r="I20" s="296">
        <v>0</v>
      </c>
      <c r="J20" s="296" t="e">
        <f>ROUND((1+SDI_COW)*(SUMIF(#REF!,RECAP!J$7,#REF!)),0)</f>
        <v>#REF!</v>
      </c>
      <c r="K20" s="110" t="e">
        <f>ROUND((1+SDI_COW)*(SUMIF(#REF!,RECAP!K$7,#REF!)),0)</f>
        <v>#REF!</v>
      </c>
      <c r="L20" s="110" t="e">
        <f>ROUND((1+SDI_COW)*(SUMIF(#REF!,RECAP!L$7,#REF!)),0)</f>
        <v>#REF!</v>
      </c>
      <c r="M20" s="110" t="e">
        <f>ROUND((1+SDI_COW)*(SUMIF(#REF!,RECAP!M$7,#REF!)),0)</f>
        <v>#REF!</v>
      </c>
      <c r="N20" s="110" t="e">
        <f>ROUND((1+SDI_COW)*(SUMIF(#REF!,RECAP!N$7,#REF!)),0)</f>
        <v>#REF!</v>
      </c>
      <c r="O20" s="110" t="e">
        <f>ROUND((1+SDI_COW)*(SUMIF(#REF!,RECAP!O$7,#REF!)),0)</f>
        <v>#REF!</v>
      </c>
      <c r="P20" s="110" t="e">
        <f>ROUND((1+SDI_COW)*(SUMIF(#REF!,RECAP!P$7,#REF!)),0)</f>
        <v>#REF!</v>
      </c>
      <c r="Q20" s="110" t="e">
        <f>ROUND((1+SDI_COW)*(SUMIF(#REF!,RECAP!Q$7,#REF!)),0)</f>
        <v>#REF!</v>
      </c>
      <c r="R20" s="110" t="e">
        <f>ROUND((1+SDI_COW)*(SUMIF(#REF!,RECAP!R$7,#REF!)),0)</f>
        <v>#REF!</v>
      </c>
      <c r="S20" s="110" t="e">
        <f>ROUND((1+SDI_COW)*(SUMIF(#REF!,RECAP!S$7,#REF!)),0)</f>
        <v>#REF!</v>
      </c>
      <c r="T20" s="110" t="e">
        <f>ROUND((1+SDI_COW)*(SUMIF(#REF!,RECAP!T$7,#REF!)),0)</f>
        <v>#REF!</v>
      </c>
      <c r="U20" s="110" t="e">
        <f>ROUND((1+SDI_COW)*(SUMIF(#REF!,RECAP!U$7,#REF!)),0)</f>
        <v>#REF!</v>
      </c>
      <c r="V20" s="110" t="e">
        <f>ROUND((1+SDI_COW)*(SUMIF(#REF!,RECAP!V$7,#REF!)),0)</f>
        <v>#REF!</v>
      </c>
      <c r="W20" s="110" t="e">
        <f>ROUND((1+SDI_COW)*(SUMIF(#REF!,RECAP!W$7,#REF!)),0)</f>
        <v>#REF!</v>
      </c>
      <c r="X20" s="110" t="e">
        <f>ROUND((1+SDI_COW)*(SUMIF(#REF!,RECAP!X$7,#REF!)),0)</f>
        <v>#REF!</v>
      </c>
      <c r="Y20" s="110" t="e">
        <f>ROUND((1+SDI_COW)*(SUMIF(#REF!,RECAP!Y$7,#REF!)),0)</f>
        <v>#REF!</v>
      </c>
      <c r="Z20" s="110" t="e">
        <f>ROUND((1+SDI_COW)*(SUMIF(#REF!,RECAP!Z$7,#REF!)),0)</f>
        <v>#REF!</v>
      </c>
      <c r="AA20" s="114" t="e">
        <f>ROUND((1+SDI_COW)*(SUMIF(#REF!,RECAP!AA$7,#REF!)),0)</f>
        <v>#REF!</v>
      </c>
      <c r="AB20" s="316">
        <f t="shared" si="0"/>
        <v>437056</v>
      </c>
      <c r="AD20" s="356" t="e">
        <f>ROUND((1+0)*#REF!,0)</f>
        <v>#REF!</v>
      </c>
      <c r="AE20" s="357" t="e">
        <f>#REF!</f>
        <v>#REF!</v>
      </c>
      <c r="AF20" s="316" t="e">
        <f>ROUND((1+0)*#REF!,0)</f>
        <v>#REF!</v>
      </c>
      <c r="AG20" s="316" t="e">
        <f>#REF!</f>
        <v>#REF!</v>
      </c>
      <c r="AI20" s="317"/>
    </row>
    <row r="21" spans="3:36" s="90" customFormat="1" ht="20.25" customHeight="1">
      <c r="C21" s="91"/>
      <c r="E21" s="297" t="s">
        <v>47</v>
      </c>
      <c r="F21" s="298" t="s">
        <v>48</v>
      </c>
      <c r="G21" s="298"/>
      <c r="H21" s="299"/>
      <c r="I21" s="299"/>
      <c r="J21" s="115"/>
      <c r="K21" s="115"/>
      <c r="L21" s="116"/>
      <c r="M21" s="116"/>
      <c r="N21" s="116"/>
      <c r="O21" s="116"/>
      <c r="P21" s="117"/>
      <c r="Q21" s="118"/>
      <c r="R21" s="118"/>
      <c r="S21" s="118"/>
      <c r="T21" s="118"/>
      <c r="U21" s="118"/>
      <c r="V21" s="118"/>
      <c r="W21" s="117"/>
      <c r="X21" s="118"/>
      <c r="Y21" s="118"/>
      <c r="Z21" s="118"/>
      <c r="AA21" s="119"/>
      <c r="AB21" s="318"/>
      <c r="AC21" s="303"/>
      <c r="AD21" s="356"/>
      <c r="AE21" s="357"/>
      <c r="AF21" s="316"/>
      <c r="AG21" s="316"/>
      <c r="AH21" s="303"/>
      <c r="AI21" s="317"/>
      <c r="AJ21" s="303"/>
    </row>
    <row r="22" spans="3:36" ht="20.25" customHeight="1">
      <c r="C22" s="91"/>
      <c r="E22" s="300" t="s">
        <v>49</v>
      </c>
      <c r="F22" s="301" t="s">
        <v>48</v>
      </c>
      <c r="G22" s="301"/>
      <c r="H22" s="296">
        <v>976029</v>
      </c>
      <c r="I22" s="296">
        <v>1337390</v>
      </c>
      <c r="J22" s="296" t="e">
        <f>ROUND((1+SDI_COW)*(SUMIF(#REF!,RECAP!J$7,#REF!)),0)</f>
        <v>#REF!</v>
      </c>
      <c r="K22" s="110" t="e">
        <f>ROUND((1+SDI_COW)*(SUMIF(#REF!,RECAP!K$7,#REF!)),0)</f>
        <v>#REF!</v>
      </c>
      <c r="L22" s="110" t="e">
        <f>ROUND((1+SDI_COW)*(SUMIF(#REF!,RECAP!L$7,#REF!)),0)</f>
        <v>#REF!</v>
      </c>
      <c r="M22" s="110" t="e">
        <f>ROUND((1+SDI_COW)*(SUMIF(#REF!,RECAP!M$7,#REF!)),0)</f>
        <v>#REF!</v>
      </c>
      <c r="N22" s="110" t="e">
        <f>ROUND((1+SDI_COW)*(SUMIF(#REF!,RECAP!N$7,#REF!)),0)</f>
        <v>#REF!</v>
      </c>
      <c r="O22" s="110" t="e">
        <f>ROUND((1+SDI_COW)*(SUMIF(#REF!,RECAP!O$7,#REF!)),0)</f>
        <v>#REF!</v>
      </c>
      <c r="P22" s="110" t="e">
        <f>ROUND((1+SDI_COW)*(SUMIF(#REF!,RECAP!P$7,#REF!)),0)</f>
        <v>#REF!</v>
      </c>
      <c r="Q22" s="110" t="e">
        <f>ROUND((1+SDI_COW)*(SUMIF(#REF!,RECAP!Q$7,#REF!)),0)</f>
        <v>#REF!</v>
      </c>
      <c r="R22" s="110" t="e">
        <f>ROUND((1+SDI_COW)*(SUMIF(#REF!,RECAP!R$7,#REF!)),0)</f>
        <v>#REF!</v>
      </c>
      <c r="S22" s="110" t="e">
        <f>ROUND((1+SDI_COW)*(SUMIF(#REF!,RECAP!S$7,#REF!)),0)</f>
        <v>#REF!</v>
      </c>
      <c r="T22" s="110" t="e">
        <f>ROUND((1+SDI_COW)*(SUMIF(#REF!,RECAP!T$7,#REF!)),0)</f>
        <v>#REF!</v>
      </c>
      <c r="U22" s="110" t="e">
        <f>ROUND((1+SDI_COW)*(SUMIF(#REF!,RECAP!U$7,#REF!)),0)</f>
        <v>#REF!</v>
      </c>
      <c r="V22" s="110" t="e">
        <f>ROUND((1+SDI_COW)*(SUMIF(#REF!,RECAP!V$7,#REF!)),0)</f>
        <v>#REF!</v>
      </c>
      <c r="W22" s="110" t="e">
        <f>ROUND((1+SDI_COW)*(SUMIF(#REF!,RECAP!W$7,#REF!)),0)</f>
        <v>#REF!</v>
      </c>
      <c r="X22" s="110" t="e">
        <f>ROUND((1+SDI_COW)*(SUMIF(#REF!,RECAP!X$7,#REF!)),0)</f>
        <v>#REF!</v>
      </c>
      <c r="Y22" s="110" t="e">
        <f>ROUND((1+SDI_COW)*(SUMIF(#REF!,RECAP!Y$7,#REF!)),0)</f>
        <v>#REF!</v>
      </c>
      <c r="Z22" s="110" t="e">
        <f>ROUND((1+SDI_COW)*(SUMIF(#REF!,RECAP!Z$7,#REF!)),0)</f>
        <v>#REF!</v>
      </c>
      <c r="AA22" s="114" t="e">
        <f>ROUND((1+SDI_COW)*(SUMIF(#REF!,RECAP!AA$7,#REF!)),0)</f>
        <v>#REF!</v>
      </c>
      <c r="AB22" s="316">
        <f>H22+I22</f>
        <v>2313419</v>
      </c>
      <c r="AD22" s="356" t="e">
        <f>ROUND((1+SDI_COW)*#REF!,0)</f>
        <v>#REF!</v>
      </c>
      <c r="AE22" s="357" t="e">
        <f>#REF!</f>
        <v>#REF!</v>
      </c>
      <c r="AF22" s="316" t="e">
        <f>ROUND((1+SDI_COW)*#REF!,0)</f>
        <v>#REF!</v>
      </c>
      <c r="AG22" s="316" t="e">
        <f>#REF!</f>
        <v>#REF!</v>
      </c>
      <c r="AI22" s="317"/>
    </row>
    <row r="23" spans="3:36" s="90" customFormat="1" ht="20.25" customHeight="1">
      <c r="C23" s="91"/>
      <c r="E23" s="297" t="s">
        <v>50</v>
      </c>
      <c r="F23" s="298" t="s">
        <v>51</v>
      </c>
      <c r="G23" s="298"/>
      <c r="H23" s="299"/>
      <c r="I23" s="299"/>
      <c r="J23" s="115"/>
      <c r="K23" s="115"/>
      <c r="L23" s="116"/>
      <c r="M23" s="116"/>
      <c r="N23" s="116"/>
      <c r="O23" s="116"/>
      <c r="P23" s="117"/>
      <c r="Q23" s="118"/>
      <c r="R23" s="118"/>
      <c r="S23" s="118"/>
      <c r="T23" s="118"/>
      <c r="U23" s="118"/>
      <c r="V23" s="118"/>
      <c r="W23" s="117"/>
      <c r="X23" s="118"/>
      <c r="Y23" s="118"/>
      <c r="Z23" s="118"/>
      <c r="AA23" s="119"/>
      <c r="AB23" s="318"/>
      <c r="AC23" s="303"/>
      <c r="AD23" s="356"/>
      <c r="AE23" s="357"/>
      <c r="AF23" s="316"/>
      <c r="AG23" s="316"/>
      <c r="AH23" s="303"/>
      <c r="AI23" s="317"/>
      <c r="AJ23" s="303"/>
    </row>
    <row r="24" spans="3:36" ht="20.25" customHeight="1">
      <c r="C24" s="91"/>
      <c r="E24" s="300" t="s">
        <v>52</v>
      </c>
      <c r="F24" s="301" t="s">
        <v>53</v>
      </c>
      <c r="G24" s="301"/>
      <c r="H24" s="296">
        <v>74860</v>
      </c>
      <c r="I24" s="296">
        <v>1298375</v>
      </c>
      <c r="J24" s="296" t="e">
        <f>ROUND((1+SDI_COW)*(SUMIF(#REF!,RECAP!J$7,#REF!)),0)</f>
        <v>#REF!</v>
      </c>
      <c r="K24" s="110" t="e">
        <f>ROUND((1+SDI_COW)*(SUMIF(#REF!,RECAP!K$7,#REF!)),0)</f>
        <v>#REF!</v>
      </c>
      <c r="L24" s="110" t="e">
        <f>ROUND((1+SDI_COW)*(SUMIF(#REF!,RECAP!L$7,#REF!)),0)</f>
        <v>#REF!</v>
      </c>
      <c r="M24" s="110" t="e">
        <f>ROUND((1+SDI_COW)*(SUMIF(#REF!,RECAP!M$7,#REF!)),0)</f>
        <v>#REF!</v>
      </c>
      <c r="N24" s="110" t="e">
        <f>ROUND((1+SDI_COW)*(SUMIF(#REF!,RECAP!N$7,#REF!)),0)</f>
        <v>#REF!</v>
      </c>
      <c r="O24" s="110" t="e">
        <f>ROUND((1+SDI_COW)*(SUMIF(#REF!,RECAP!O$7,#REF!)),0)</f>
        <v>#REF!</v>
      </c>
      <c r="P24" s="110" t="e">
        <f>ROUND((1+SDI_COW)*(SUMIF(#REF!,RECAP!P$7,#REF!)),0)</f>
        <v>#REF!</v>
      </c>
      <c r="Q24" s="110" t="e">
        <f>ROUND((1+SDI_COW)*(SUMIF(#REF!,RECAP!Q$7,#REF!)),0)</f>
        <v>#REF!</v>
      </c>
      <c r="R24" s="110" t="e">
        <f>ROUND((1+SDI_COW)*(SUMIF(#REF!,RECAP!R$7,#REF!)),0)</f>
        <v>#REF!</v>
      </c>
      <c r="S24" s="110" t="e">
        <f>ROUND((1+SDI_COW)*(SUMIF(#REF!,RECAP!S$7,#REF!)),0)</f>
        <v>#REF!</v>
      </c>
      <c r="T24" s="110" t="e">
        <f>ROUND((1+SDI_COW)*(SUMIF(#REF!,RECAP!T$7,#REF!)),0)</f>
        <v>#REF!</v>
      </c>
      <c r="U24" s="110" t="e">
        <f>ROUND((1+SDI_COW)*(SUMIF(#REF!,RECAP!U$7,#REF!)),0)</f>
        <v>#REF!</v>
      </c>
      <c r="V24" s="110" t="e">
        <f>ROUND((1+SDI_COW)*(SUMIF(#REF!,RECAP!V$7,#REF!)),0)</f>
        <v>#REF!</v>
      </c>
      <c r="W24" s="110" t="e">
        <f>ROUND((1+SDI_COW)*(SUMIF(#REF!,RECAP!W$7,#REF!)),0)</f>
        <v>#REF!</v>
      </c>
      <c r="X24" s="110" t="e">
        <f>ROUND((1+SDI_COW)*(SUMIF(#REF!,RECAP!X$7,#REF!)),0)</f>
        <v>#REF!</v>
      </c>
      <c r="Y24" s="110" t="e">
        <f>ROUND((1+SDI_COW)*(SUMIF(#REF!,RECAP!Y$7,#REF!)),0)</f>
        <v>#REF!</v>
      </c>
      <c r="Z24" s="110" t="e">
        <f>ROUND((1+SDI_COW)*(SUMIF(#REF!,RECAP!Z$7,#REF!)),0)</f>
        <v>#REF!</v>
      </c>
      <c r="AA24" s="114" t="e">
        <f>ROUND((1+SDI_COW)*(SUMIF(#REF!,RECAP!AA$7,#REF!)),0)</f>
        <v>#REF!</v>
      </c>
      <c r="AB24" s="316">
        <f>H24+I24</f>
        <v>1373235</v>
      </c>
      <c r="AD24" s="356" t="e">
        <f>ROUND((1+SDI_COW)*#REF!,0)</f>
        <v>#REF!</v>
      </c>
      <c r="AE24" s="357" t="e">
        <f>#REF!</f>
        <v>#REF!</v>
      </c>
      <c r="AF24" s="316" t="e">
        <f>ROUND((1+SDI_COW)*#REF!,0)</f>
        <v>#REF!</v>
      </c>
      <c r="AG24" s="316" t="e">
        <f>#REF!</f>
        <v>#REF!</v>
      </c>
      <c r="AI24" s="317"/>
    </row>
    <row r="25" spans="3:36" s="90" customFormat="1" ht="20.25" customHeight="1">
      <c r="C25" s="91"/>
      <c r="E25" s="297" t="s">
        <v>54</v>
      </c>
      <c r="F25" s="298" t="s">
        <v>55</v>
      </c>
      <c r="G25" s="298"/>
      <c r="H25" s="299"/>
      <c r="I25" s="299"/>
      <c r="J25" s="115"/>
      <c r="K25" s="115"/>
      <c r="L25" s="116"/>
      <c r="M25" s="116"/>
      <c r="N25" s="116"/>
      <c r="O25" s="116"/>
      <c r="P25" s="117"/>
      <c r="Q25" s="118"/>
      <c r="R25" s="118"/>
      <c r="S25" s="118"/>
      <c r="T25" s="118"/>
      <c r="U25" s="118"/>
      <c r="V25" s="118"/>
      <c r="W25" s="117"/>
      <c r="X25" s="118"/>
      <c r="Y25" s="118"/>
      <c r="Z25" s="118"/>
      <c r="AA25" s="119"/>
      <c r="AB25" s="318"/>
      <c r="AC25" s="303"/>
      <c r="AD25" s="356"/>
      <c r="AE25" s="357"/>
      <c r="AF25" s="316"/>
      <c r="AG25" s="316"/>
      <c r="AH25" s="303"/>
      <c r="AI25" s="317"/>
      <c r="AJ25" s="303"/>
    </row>
    <row r="26" spans="3:36" ht="20.25" customHeight="1">
      <c r="C26" s="91"/>
      <c r="E26" s="300" t="s">
        <v>56</v>
      </c>
      <c r="F26" s="301" t="s">
        <v>57</v>
      </c>
      <c r="G26" s="301"/>
      <c r="H26" s="296">
        <v>20800</v>
      </c>
      <c r="I26" s="296">
        <v>2045212</v>
      </c>
      <c r="J26" s="296" t="e">
        <f>ROUND((1+SDI_COW)*(SUMIF(#REF!,RECAP!J$7,#REF!)),0)</f>
        <v>#REF!</v>
      </c>
      <c r="K26" s="110" t="e">
        <f>ROUND((1+SDI_COW)*(SUMIF(#REF!,RECAP!K$7,#REF!)),0)</f>
        <v>#REF!</v>
      </c>
      <c r="L26" s="110" t="e">
        <f>ROUND((1+SDI_COW)*(SUMIF(#REF!,RECAP!L$7,#REF!)),0)</f>
        <v>#REF!</v>
      </c>
      <c r="M26" s="110" t="e">
        <f>ROUND((1+SDI_COW)*(SUMIF(#REF!,RECAP!M$7,#REF!)),0)</f>
        <v>#REF!</v>
      </c>
      <c r="N26" s="110" t="e">
        <f>ROUND((1+SDI_COW)*(SUMIF(#REF!,RECAP!N$7,#REF!)),0)</f>
        <v>#REF!</v>
      </c>
      <c r="O26" s="110" t="e">
        <f>ROUND((1+SDI_COW)*(SUMIF(#REF!,RECAP!O$7,#REF!)),0)</f>
        <v>#REF!</v>
      </c>
      <c r="P26" s="110" t="e">
        <f>ROUND((1+SDI_COW)*(SUMIF(#REF!,RECAP!P$7,#REF!)),0)</f>
        <v>#REF!</v>
      </c>
      <c r="Q26" s="110" t="e">
        <f>ROUND((1+SDI_COW)*(SUMIF(#REF!,RECAP!Q$7,#REF!)),0)</f>
        <v>#REF!</v>
      </c>
      <c r="R26" s="110" t="e">
        <f>ROUND((1+SDI_COW)*(SUMIF(#REF!,RECAP!R$7,#REF!)),0)</f>
        <v>#REF!</v>
      </c>
      <c r="S26" s="110" t="e">
        <f>ROUND((1+SDI_COW)*(SUMIF(#REF!,RECAP!S$7,#REF!)),0)</f>
        <v>#REF!</v>
      </c>
      <c r="T26" s="110" t="e">
        <f>ROUND((1+SDI_COW)*(SUMIF(#REF!,RECAP!T$7,#REF!)),0)</f>
        <v>#REF!</v>
      </c>
      <c r="U26" s="110" t="e">
        <f>ROUND((1+SDI_COW)*(SUMIF(#REF!,RECAP!U$7,#REF!)),0)</f>
        <v>#REF!</v>
      </c>
      <c r="V26" s="110" t="e">
        <f>ROUND((1+SDI_COW)*(SUMIF(#REF!,RECAP!V$7,#REF!)),0)</f>
        <v>#REF!</v>
      </c>
      <c r="W26" s="110" t="e">
        <f>ROUND((1+SDI_COW)*(SUMIF(#REF!,RECAP!W$7,#REF!)),0)</f>
        <v>#REF!</v>
      </c>
      <c r="X26" s="110" t="e">
        <f>ROUND((1+SDI_COW)*(SUMIF(#REF!,RECAP!X$7,#REF!)),0)</f>
        <v>#REF!</v>
      </c>
      <c r="Y26" s="110" t="e">
        <f>ROUND((1+SDI_COW)*(SUMIF(#REF!,RECAP!Y$7,#REF!)),0)</f>
        <v>#REF!</v>
      </c>
      <c r="Z26" s="110" t="e">
        <f>ROUND((1+SDI_COW)*(SUMIF(#REF!,RECAP!Z$7,#REF!)),0)</f>
        <v>#REF!</v>
      </c>
      <c r="AA26" s="114" t="e">
        <f>ROUND((1+SDI_COW)*(SUMIF(#REF!,RECAP!AA$7,#REF!)),0)</f>
        <v>#REF!</v>
      </c>
      <c r="AB26" s="316">
        <f>H26+I26</f>
        <v>2066012</v>
      </c>
      <c r="AD26" s="356" t="e">
        <f>ROUND((1+SDI_COW)*#REF!,0)</f>
        <v>#REF!</v>
      </c>
      <c r="AE26" s="357" t="e">
        <f>#REF!</f>
        <v>#REF!</v>
      </c>
      <c r="AF26" s="316" t="e">
        <f>ROUND((1+SDI_COW)*#REF!,0)</f>
        <v>#REF!</v>
      </c>
      <c r="AG26" s="316" t="e">
        <f>#REF!</f>
        <v>#REF!</v>
      </c>
      <c r="AI26" s="317"/>
    </row>
    <row r="27" spans="3:36" s="90" customFormat="1" ht="20.25" customHeight="1">
      <c r="C27" s="91"/>
      <c r="E27" s="297" t="s">
        <v>58</v>
      </c>
      <c r="F27" s="298" t="s">
        <v>59</v>
      </c>
      <c r="G27" s="298"/>
      <c r="H27" s="299"/>
      <c r="I27" s="299"/>
      <c r="J27" s="115"/>
      <c r="K27" s="115"/>
      <c r="L27" s="116"/>
      <c r="M27" s="116"/>
      <c r="N27" s="116"/>
      <c r="O27" s="116"/>
      <c r="P27" s="117"/>
      <c r="Q27" s="118"/>
      <c r="R27" s="118"/>
      <c r="S27" s="118"/>
      <c r="T27" s="118"/>
      <c r="U27" s="118"/>
      <c r="V27" s="118"/>
      <c r="W27" s="117"/>
      <c r="X27" s="118"/>
      <c r="Y27" s="118"/>
      <c r="Z27" s="118"/>
      <c r="AA27" s="119"/>
      <c r="AB27" s="318"/>
      <c r="AC27" s="303"/>
      <c r="AD27" s="356"/>
      <c r="AE27" s="357"/>
      <c r="AF27" s="316"/>
      <c r="AG27" s="316"/>
      <c r="AH27" s="303"/>
      <c r="AI27" s="317"/>
      <c r="AJ27" s="303"/>
    </row>
    <row r="28" spans="3:36" ht="20.25" customHeight="1">
      <c r="C28" s="91"/>
      <c r="E28" s="300" t="s">
        <v>60</v>
      </c>
      <c r="F28" s="301" t="s">
        <v>61</v>
      </c>
      <c r="G28" s="301"/>
      <c r="H28" s="296">
        <v>0</v>
      </c>
      <c r="I28" s="296">
        <v>106013</v>
      </c>
      <c r="J28" s="296" t="e">
        <f>ROUND((1+SDI_COW)*(SUMIF(#REF!,RECAP!J$7,#REF!)),0)</f>
        <v>#REF!</v>
      </c>
      <c r="K28" s="110" t="e">
        <f>ROUND((1+SDI_COW)*(SUMIF(#REF!,RECAP!K$7,#REF!)),0)</f>
        <v>#REF!</v>
      </c>
      <c r="L28" s="110" t="e">
        <f>ROUND((1+SDI_COW)*(SUMIF(#REF!,RECAP!L$7,#REF!)),0)</f>
        <v>#REF!</v>
      </c>
      <c r="M28" s="110" t="e">
        <f>ROUND((1+SDI_COW)*(SUMIF(#REF!,RECAP!M$7,#REF!)),0)</f>
        <v>#REF!</v>
      </c>
      <c r="N28" s="110" t="e">
        <f>ROUND((1+SDI_COW)*(SUMIF(#REF!,RECAP!N$7,#REF!)),0)</f>
        <v>#REF!</v>
      </c>
      <c r="O28" s="110" t="e">
        <f>ROUND((1+SDI_COW)*(SUMIF(#REF!,RECAP!O$7,#REF!)),0)</f>
        <v>#REF!</v>
      </c>
      <c r="P28" s="110" t="e">
        <f>ROUND((1+SDI_COW)*(SUMIF(#REF!,RECAP!P$7,#REF!)),0)</f>
        <v>#REF!</v>
      </c>
      <c r="Q28" s="110" t="e">
        <f>ROUND((1+SDI_COW)*(SUMIF(#REF!,RECAP!Q$7,#REF!)),0)</f>
        <v>#REF!</v>
      </c>
      <c r="R28" s="110" t="e">
        <f>ROUND((1+SDI_COW)*(SUMIF(#REF!,RECAP!R$7,#REF!)),0)</f>
        <v>#REF!</v>
      </c>
      <c r="S28" s="110" t="e">
        <f>ROUND((1+SDI_COW)*(SUMIF(#REF!,RECAP!S$7,#REF!)),0)</f>
        <v>#REF!</v>
      </c>
      <c r="T28" s="110" t="e">
        <f>ROUND((1+SDI_COW)*(SUMIF(#REF!,RECAP!T$7,#REF!)),0)</f>
        <v>#REF!</v>
      </c>
      <c r="U28" s="110" t="e">
        <f>ROUND((1+SDI_COW)*(SUMIF(#REF!,RECAP!U$7,#REF!)),0)</f>
        <v>#REF!</v>
      </c>
      <c r="V28" s="110" t="e">
        <f>ROUND((1+SDI_COW)*(SUMIF(#REF!,RECAP!V$7,#REF!)),0)</f>
        <v>#REF!</v>
      </c>
      <c r="W28" s="110" t="e">
        <f>ROUND((1+SDI_COW)*(SUMIF(#REF!,RECAP!W$7,#REF!)),0)</f>
        <v>#REF!</v>
      </c>
      <c r="X28" s="110" t="e">
        <f>ROUND((1+SDI_COW)*(SUMIF(#REF!,RECAP!X$7,#REF!)),0)</f>
        <v>#REF!</v>
      </c>
      <c r="Y28" s="110" t="e">
        <f>ROUND((1+SDI_COW)*(SUMIF(#REF!,RECAP!Y$7,#REF!)),0)</f>
        <v>#REF!</v>
      </c>
      <c r="Z28" s="110" t="e">
        <f>ROUND((1+SDI_COW)*(SUMIF(#REF!,RECAP!Z$7,#REF!)),0)</f>
        <v>#REF!</v>
      </c>
      <c r="AA28" s="114" t="e">
        <f>ROUND((1+SDI_COW)*(SUMIF(#REF!,RECAP!AA$7,#REF!)),0)</f>
        <v>#REF!</v>
      </c>
      <c r="AB28" s="316">
        <f>H28+I28</f>
        <v>106013</v>
      </c>
      <c r="AD28" s="356" t="e">
        <f>ROUND((1+SDI_COW)*#REF!,0)</f>
        <v>#REF!</v>
      </c>
      <c r="AE28" s="357" t="e">
        <f>#REF!</f>
        <v>#REF!</v>
      </c>
      <c r="AF28" s="316" t="e">
        <f>ROUND((1+SDI_COW)*#REF!,0)</f>
        <v>#REF!</v>
      </c>
      <c r="AG28" s="316" t="e">
        <f>#REF!</f>
        <v>#REF!</v>
      </c>
      <c r="AI28" s="317"/>
    </row>
    <row r="29" spans="3:36" ht="20.25" customHeight="1">
      <c r="C29" s="91"/>
      <c r="E29" s="300" t="s">
        <v>62</v>
      </c>
      <c r="F29" s="301" t="s">
        <v>63</v>
      </c>
      <c r="G29" s="301"/>
      <c r="H29" s="296">
        <v>0</v>
      </c>
      <c r="I29" s="296">
        <v>261850</v>
      </c>
      <c r="J29" s="296" t="e">
        <f>ROUND((1+SDI_COW)*(SUMIF(#REF!,RECAP!J$7,#REF!)),0)</f>
        <v>#REF!</v>
      </c>
      <c r="K29" s="110" t="e">
        <f>ROUND((1+SDI_COW)*(SUMIF(#REF!,RECAP!K$7,#REF!)),0)</f>
        <v>#REF!</v>
      </c>
      <c r="L29" s="110" t="e">
        <f>ROUND((1+SDI_COW)*(SUMIF(#REF!,RECAP!L$7,#REF!)),0)</f>
        <v>#REF!</v>
      </c>
      <c r="M29" s="110" t="e">
        <f>ROUND((1+SDI_COW)*(SUMIF(#REF!,RECAP!M$7,#REF!)),0)</f>
        <v>#REF!</v>
      </c>
      <c r="N29" s="110" t="e">
        <f>ROUND((1+SDI_COW)*(SUMIF(#REF!,RECAP!N$7,#REF!)),0)</f>
        <v>#REF!</v>
      </c>
      <c r="O29" s="110" t="e">
        <f>ROUND((1+SDI_COW)*(SUMIF(#REF!,RECAP!O$7,#REF!)),0)</f>
        <v>#REF!</v>
      </c>
      <c r="P29" s="110" t="e">
        <f>ROUND((1+SDI_COW)*(SUMIF(#REF!,RECAP!P$7,#REF!)),0)</f>
        <v>#REF!</v>
      </c>
      <c r="Q29" s="110" t="e">
        <f>ROUND((1+SDI_COW)*(SUMIF(#REF!,RECAP!Q$7,#REF!)),0)</f>
        <v>#REF!</v>
      </c>
      <c r="R29" s="110" t="e">
        <f>ROUND((1+SDI_COW)*(SUMIF(#REF!,RECAP!R$7,#REF!)),0)</f>
        <v>#REF!</v>
      </c>
      <c r="S29" s="110" t="e">
        <f>ROUND((1+SDI_COW)*(SUMIF(#REF!,RECAP!S$7,#REF!)),0)</f>
        <v>#REF!</v>
      </c>
      <c r="T29" s="110" t="e">
        <f>ROUND((1+SDI_COW)*(SUMIF(#REF!,RECAP!T$7,#REF!)),0)</f>
        <v>#REF!</v>
      </c>
      <c r="U29" s="110" t="e">
        <f>ROUND((1+SDI_COW)*(SUMIF(#REF!,RECAP!U$7,#REF!)),0)</f>
        <v>#REF!</v>
      </c>
      <c r="V29" s="110" t="e">
        <f>ROUND((1+SDI_COW)*(SUMIF(#REF!,RECAP!V$7,#REF!)),0)</f>
        <v>#REF!</v>
      </c>
      <c r="W29" s="110" t="e">
        <f>ROUND((1+SDI_COW)*(SUMIF(#REF!,RECAP!W$7,#REF!)),0)</f>
        <v>#REF!</v>
      </c>
      <c r="X29" s="110" t="e">
        <f>ROUND((1+SDI_COW)*(SUMIF(#REF!,RECAP!X$7,#REF!)),0)</f>
        <v>#REF!</v>
      </c>
      <c r="Y29" s="110" t="e">
        <f>ROUND((1+SDI_COW)*(SUMIF(#REF!,RECAP!Y$7,#REF!)),0)</f>
        <v>#REF!</v>
      </c>
      <c r="Z29" s="110" t="e">
        <f>ROUND((1+SDI_COW)*(SUMIF(#REF!,RECAP!Z$7,#REF!)),0)</f>
        <v>#REF!</v>
      </c>
      <c r="AA29" s="114" t="e">
        <f>ROUND((1+SDI_COW)*(SUMIF(#REF!,RECAP!AA$7,#REF!)),0)</f>
        <v>#REF!</v>
      </c>
      <c r="AB29" s="316">
        <f>H29+I29</f>
        <v>261850</v>
      </c>
      <c r="AD29" s="356" t="e">
        <f>ROUND((1+SDI_COW)*#REF!,0)</f>
        <v>#REF!</v>
      </c>
      <c r="AE29" s="357" t="e">
        <f>#REF!</f>
        <v>#REF!</v>
      </c>
      <c r="AF29" s="316" t="e">
        <f>ROUND((1+SDI_COW)*#REF!,0)</f>
        <v>#REF!</v>
      </c>
      <c r="AG29" s="316" t="e">
        <f>#REF!</f>
        <v>#REF!</v>
      </c>
      <c r="AI29" s="317"/>
    </row>
    <row r="30" spans="3:36" s="90" customFormat="1" ht="20.25" customHeight="1">
      <c r="C30" s="91"/>
      <c r="E30" s="297" t="s">
        <v>64</v>
      </c>
      <c r="F30" s="298" t="s">
        <v>65</v>
      </c>
      <c r="G30" s="298"/>
      <c r="H30" s="299"/>
      <c r="I30" s="299"/>
      <c r="J30" s="115"/>
      <c r="K30" s="115"/>
      <c r="L30" s="116"/>
      <c r="M30" s="116"/>
      <c r="N30" s="116"/>
      <c r="O30" s="116"/>
      <c r="P30" s="117"/>
      <c r="Q30" s="118"/>
      <c r="R30" s="118"/>
      <c r="S30" s="118"/>
      <c r="T30" s="118"/>
      <c r="U30" s="118"/>
      <c r="V30" s="118"/>
      <c r="W30" s="117"/>
      <c r="X30" s="118"/>
      <c r="Y30" s="118"/>
      <c r="Z30" s="118"/>
      <c r="AA30" s="119"/>
      <c r="AB30" s="318"/>
      <c r="AC30" s="303"/>
      <c r="AD30" s="356"/>
      <c r="AE30" s="357"/>
      <c r="AF30" s="316"/>
      <c r="AG30" s="316"/>
      <c r="AH30" s="303"/>
      <c r="AI30" s="317"/>
      <c r="AJ30" s="303"/>
    </row>
    <row r="31" spans="3:36" ht="20.25" customHeight="1">
      <c r="C31" s="91"/>
      <c r="E31" s="300" t="s">
        <v>66</v>
      </c>
      <c r="F31" s="301" t="s">
        <v>757</v>
      </c>
      <c r="G31" s="301"/>
      <c r="H31" s="296">
        <v>0</v>
      </c>
      <c r="I31" s="296">
        <v>366458</v>
      </c>
      <c r="J31" s="110" t="e">
        <f>ROUND((1+SDI_COW)*(SUMIF(#REF!,RECAP!J$7,#REF!)),0)</f>
        <v>#REF!</v>
      </c>
      <c r="K31" s="110" t="e">
        <f>ROUND((1+SDI_COW)*(SUMIF(#REF!,RECAP!K$7,#REF!)),0)</f>
        <v>#REF!</v>
      </c>
      <c r="L31" s="110" t="e">
        <f>ROUND((1+SDI_COW)*(SUMIF(#REF!,RECAP!L$7,#REF!)),0)</f>
        <v>#REF!</v>
      </c>
      <c r="M31" s="110" t="e">
        <f>ROUND((1+SDI_COW)*(SUMIF(#REF!,RECAP!M$7,#REF!)),0)</f>
        <v>#REF!</v>
      </c>
      <c r="N31" s="110" t="e">
        <f>ROUND((1+SDI_COW)*(SUMIF(#REF!,RECAP!N$7,#REF!)),0)</f>
        <v>#REF!</v>
      </c>
      <c r="O31" s="110" t="e">
        <f>ROUND((1+SDI_COW)*(SUMIF(#REF!,RECAP!O$7,#REF!)),0)</f>
        <v>#REF!</v>
      </c>
      <c r="P31" s="110" t="e">
        <f>ROUND((1+SDI_COW)*(SUMIF(#REF!,RECAP!P$7,#REF!)),0)</f>
        <v>#REF!</v>
      </c>
      <c r="Q31" s="110" t="e">
        <f>ROUND((1+SDI_COW)*(SUMIF(#REF!,RECAP!Q$7,#REF!)),0)</f>
        <v>#REF!</v>
      </c>
      <c r="R31" s="110" t="e">
        <f>ROUND((1+SDI_COW)*(SUMIF(#REF!,RECAP!R$7,#REF!)),0)</f>
        <v>#REF!</v>
      </c>
      <c r="S31" s="110" t="e">
        <f>ROUND((1+SDI_COW)*(SUMIF(#REF!,RECAP!S$7,#REF!)),0)</f>
        <v>#REF!</v>
      </c>
      <c r="T31" s="110" t="e">
        <f>ROUND((1+SDI_COW)*(SUMIF(#REF!,RECAP!T$7,#REF!)),0)</f>
        <v>#REF!</v>
      </c>
      <c r="U31" s="110" t="e">
        <f>ROUND((1+SDI_COW)*(SUMIF(#REF!,RECAP!U$7,#REF!)),0)</f>
        <v>#REF!</v>
      </c>
      <c r="V31" s="110" t="e">
        <f>ROUND((1+SDI_COW)*(SUMIF(#REF!,RECAP!V$7,#REF!)),0)</f>
        <v>#REF!</v>
      </c>
      <c r="W31" s="110" t="e">
        <f>ROUND((1+SDI_COW)*(SUMIF(#REF!,RECAP!W$7,#REF!)),0)</f>
        <v>#REF!</v>
      </c>
      <c r="X31" s="110" t="e">
        <f>ROUND((1+SDI_COW)*(SUMIF(#REF!,RECAP!X$7,#REF!)),0)</f>
        <v>#REF!</v>
      </c>
      <c r="Y31" s="110" t="e">
        <f>ROUND((1+SDI_COW)*(SUMIF(#REF!,RECAP!Y$7,#REF!)),0)</f>
        <v>#REF!</v>
      </c>
      <c r="Z31" s="110" t="e">
        <f>ROUND((1+SDI_COW)*(SUMIF(#REF!,RECAP!Z$7,#REF!)),0)</f>
        <v>#REF!</v>
      </c>
      <c r="AA31" s="114" t="e">
        <f>ROUND((1+SDI_COW)*(SUMIF(#REF!,RECAP!AA$7,#REF!)),0)</f>
        <v>#REF!</v>
      </c>
      <c r="AB31" s="316">
        <f>H31+I31</f>
        <v>366458</v>
      </c>
      <c r="AD31" s="356" t="e">
        <f>ROUND((1+SDI_COW)*#REF!,0)</f>
        <v>#REF!</v>
      </c>
      <c r="AE31" s="357" t="e">
        <f>#REF!</f>
        <v>#REF!</v>
      </c>
      <c r="AF31" s="316" t="e">
        <f>ROUND((1+SDI_COW)*#REF!,0)</f>
        <v>#REF!</v>
      </c>
      <c r="AG31" s="316" t="e">
        <f>#REF!</f>
        <v>#REF!</v>
      </c>
      <c r="AI31" s="317"/>
    </row>
    <row r="32" spans="3:36" ht="20.25" customHeight="1">
      <c r="C32" s="91"/>
      <c r="E32" s="128" t="s">
        <v>67</v>
      </c>
      <c r="F32" s="301" t="s">
        <v>68</v>
      </c>
      <c r="G32" s="113"/>
      <c r="H32" s="296">
        <v>0</v>
      </c>
      <c r="I32" s="296">
        <v>145800</v>
      </c>
      <c r="J32" s="296" t="e">
        <f>ROUND((1+SDI_COW)*(SUMIF(#REF!,RECAP!J$7,#REF!)),0)</f>
        <v>#REF!</v>
      </c>
      <c r="K32" s="296" t="e">
        <f>ROUND((1+SDI_COW)*(SUMIF(#REF!,RECAP!K$7,#REF!)),0)</f>
        <v>#REF!</v>
      </c>
      <c r="L32" s="316" t="e">
        <f>ROUND((1+SDI_COW)*(SUMIF(#REF!,RECAP!L$7,#REF!)),0)</f>
        <v>#REF!</v>
      </c>
      <c r="M32" s="296" t="e">
        <f>ROUND((1+SDI_COW)*(SUMIF(#REF!,RECAP!M$7,#REF!)),0)</f>
        <v>#REF!</v>
      </c>
      <c r="N32" s="316" t="e">
        <f>ROUND((1+SDI_COW)*(SUMIF(#REF!,RECAP!N$7,#REF!)),0)</f>
        <v>#REF!</v>
      </c>
      <c r="O32" s="296" t="e">
        <f>ROUND((1+SDI_COW)*(SUMIF(#REF!,RECAP!O$7,#REF!)),0)</f>
        <v>#REF!</v>
      </c>
      <c r="P32" s="316" t="e">
        <f>ROUND((1+SDI_COW)*(SUMIF(#REF!,RECAP!P$7,#REF!)),0)</f>
        <v>#REF!</v>
      </c>
      <c r="Q32" s="296" t="e">
        <f>ROUND((1+SDI_COW)*(SUMIF(#REF!,RECAP!Q$7,#REF!)),0)</f>
        <v>#REF!</v>
      </c>
      <c r="R32" s="316" t="e">
        <f>ROUND((1+SDI_COW)*(SUMIF(#REF!,RECAP!R$7,#REF!)),0)</f>
        <v>#REF!</v>
      </c>
      <c r="S32" s="296" t="e">
        <f>ROUND((1+SDI_COW)*(SUMIF(#REF!,RECAP!S$7,#REF!)),0)</f>
        <v>#REF!</v>
      </c>
      <c r="T32" s="316" t="e">
        <f>ROUND((1+SDI_COW)*(SUMIF(#REF!,RECAP!T$7,#REF!)),0)</f>
        <v>#REF!</v>
      </c>
      <c r="U32" s="296" t="e">
        <f>ROUND((1+SDI_COW)*(SUMIF(#REF!,RECAP!U$7,#REF!)),0)</f>
        <v>#REF!</v>
      </c>
      <c r="V32" s="316" t="e">
        <f>ROUND((1+SDI_COW)*(SUMIF(#REF!,RECAP!V$7,#REF!)),0)</f>
        <v>#REF!</v>
      </c>
      <c r="W32" s="296" t="e">
        <f>ROUND((1+SDI_COW)*(SUMIF(#REF!,RECAP!W$7,#REF!)),0)</f>
        <v>#REF!</v>
      </c>
      <c r="X32" s="316" t="e">
        <f>ROUND((1+SDI_COW)*(SUMIF(#REF!,RECAP!X$7,#REF!)),0)</f>
        <v>#REF!</v>
      </c>
      <c r="Y32" s="296" t="e">
        <f>ROUND((1+SDI_COW)*(SUMIF(#REF!,RECAP!Y$7,#REF!)),0)</f>
        <v>#REF!</v>
      </c>
      <c r="Z32" s="316" t="e">
        <f>ROUND((1+SDI_COW)*(SUMIF(#REF!,RECAP!Z$7,#REF!)),0)</f>
        <v>#REF!</v>
      </c>
      <c r="AA32" s="296" t="e">
        <f>ROUND((1+SDI_COW)*(SUMIF(#REF!,RECAP!AA$7,#REF!)),0)</f>
        <v>#REF!</v>
      </c>
      <c r="AB32" s="316">
        <f t="shared" ref="AB32:AB34" si="1">H32+I32</f>
        <v>145800</v>
      </c>
      <c r="AC32" s="84"/>
      <c r="AD32" s="356" t="e">
        <f>ROUND((1+SDI_COW)*#REF!,0)</f>
        <v>#REF!</v>
      </c>
      <c r="AE32" s="357" t="e">
        <f>#REF!</f>
        <v>#REF!</v>
      </c>
      <c r="AF32" s="97" t="e">
        <f>ROUND((1+SDI_COW)*#REF!,0)</f>
        <v>#REF!</v>
      </c>
      <c r="AG32" s="97" t="e">
        <f>#REF!</f>
        <v>#REF!</v>
      </c>
      <c r="AH32" s="84"/>
      <c r="AI32" s="98"/>
      <c r="AJ32" s="84"/>
    </row>
    <row r="33" spans="3:36" ht="20.25" customHeight="1">
      <c r="C33" s="91"/>
      <c r="E33" s="300" t="s">
        <v>69</v>
      </c>
      <c r="F33" s="301" t="s">
        <v>70</v>
      </c>
      <c r="G33" s="301"/>
      <c r="H33" s="296">
        <v>0</v>
      </c>
      <c r="I33" s="296">
        <v>900365</v>
      </c>
      <c r="J33" s="110" t="e">
        <f>ROUND((1+SDI_COW)*(SUMIF(#REF!,RECAP!J$7,#REF!)),0)</f>
        <v>#REF!</v>
      </c>
      <c r="K33" s="110" t="e">
        <f>ROUND((1+SDI_COW)*(SUMIF(#REF!,RECAP!K$7,#REF!)),0)</f>
        <v>#REF!</v>
      </c>
      <c r="L33" s="110" t="e">
        <f>ROUND((1+SDI_COW)*(SUMIF(#REF!,RECAP!L$7,#REF!)),0)</f>
        <v>#REF!</v>
      </c>
      <c r="M33" s="110" t="e">
        <f>ROUND((1+SDI_COW)*(SUMIF(#REF!,RECAP!M$7,#REF!)),0)</f>
        <v>#REF!</v>
      </c>
      <c r="N33" s="110" t="e">
        <f>ROUND((1+SDI_COW)*(SUMIF(#REF!,RECAP!N$7,#REF!)),0)</f>
        <v>#REF!</v>
      </c>
      <c r="O33" s="110" t="e">
        <f>ROUND((1+SDI_COW)*(SUMIF(#REF!,RECAP!O$7,#REF!)),0)</f>
        <v>#REF!</v>
      </c>
      <c r="P33" s="110" t="e">
        <f>ROUND((1+SDI_COW)*(SUMIF(#REF!,RECAP!P$7,#REF!)),0)</f>
        <v>#REF!</v>
      </c>
      <c r="Q33" s="110" t="e">
        <f>ROUND((1+SDI_COW)*(SUMIF(#REF!,RECAP!Q$7,#REF!)),0)</f>
        <v>#REF!</v>
      </c>
      <c r="R33" s="110" t="e">
        <f>ROUND((1+SDI_COW)*(SUMIF(#REF!,RECAP!R$7,#REF!)),0)</f>
        <v>#REF!</v>
      </c>
      <c r="S33" s="110" t="e">
        <f>ROUND((1+SDI_COW)*(SUMIF(#REF!,RECAP!S$7,#REF!)),0)</f>
        <v>#REF!</v>
      </c>
      <c r="T33" s="110" t="e">
        <f>ROUND((1+SDI_COW)*(SUMIF(#REF!,RECAP!T$7,#REF!)),0)</f>
        <v>#REF!</v>
      </c>
      <c r="U33" s="110" t="e">
        <f>ROUND((1+SDI_COW)*(SUMIF(#REF!,RECAP!U$7,#REF!)),0)</f>
        <v>#REF!</v>
      </c>
      <c r="V33" s="110" t="e">
        <f>ROUND((1+SDI_COW)*(SUMIF(#REF!,RECAP!V$7,#REF!)),0)</f>
        <v>#REF!</v>
      </c>
      <c r="W33" s="110" t="e">
        <f>ROUND((1+SDI_COW)*(SUMIF(#REF!,RECAP!W$7,#REF!)),0)</f>
        <v>#REF!</v>
      </c>
      <c r="X33" s="110" t="e">
        <f>ROUND((1+SDI_COW)*(SUMIF(#REF!,RECAP!X$7,#REF!)),0)</f>
        <v>#REF!</v>
      </c>
      <c r="Y33" s="110" t="e">
        <f>ROUND((1+SDI_COW)*(SUMIF(#REF!,RECAP!Y$7,#REF!)),0)</f>
        <v>#REF!</v>
      </c>
      <c r="Z33" s="110" t="e">
        <f>ROUND((1+SDI_COW)*(SUMIF(#REF!,RECAP!Z$7,#REF!)),0)</f>
        <v>#REF!</v>
      </c>
      <c r="AA33" s="114" t="e">
        <f>ROUND((1+SDI_COW)*(SUMIF(#REF!,RECAP!AA$7,#REF!)),0)</f>
        <v>#REF!</v>
      </c>
      <c r="AB33" s="316">
        <f t="shared" si="1"/>
        <v>900365</v>
      </c>
      <c r="AD33" s="356" t="e">
        <f>ROUND((1+SDI_COW)*#REF!,0)</f>
        <v>#REF!</v>
      </c>
      <c r="AE33" s="357" t="e">
        <f>#REF!</f>
        <v>#REF!</v>
      </c>
      <c r="AF33" s="316" t="e">
        <f>ROUND((1+SDI_COW)*#REF!,0)</f>
        <v>#REF!</v>
      </c>
      <c r="AG33" s="316" t="e">
        <f>#REF!</f>
        <v>#REF!</v>
      </c>
      <c r="AI33" s="317"/>
    </row>
    <row r="34" spans="3:36" ht="20.25" customHeight="1">
      <c r="C34" s="91"/>
      <c r="E34" s="300" t="s">
        <v>71</v>
      </c>
      <c r="F34" s="301" t="s">
        <v>72</v>
      </c>
      <c r="G34" s="301"/>
      <c r="H34" s="296">
        <v>15157</v>
      </c>
      <c r="I34" s="296">
        <v>159393</v>
      </c>
      <c r="J34" s="110" t="e">
        <f>ROUND((1+SDI_COW)*(SUMIF(#REF!,RECAP!J$7,#REF!)),0)</f>
        <v>#REF!</v>
      </c>
      <c r="K34" s="110" t="e">
        <f>ROUND((1+SDI_COW)*(SUMIF(#REF!,RECAP!K$7,#REF!)),0)</f>
        <v>#REF!</v>
      </c>
      <c r="L34" s="110" t="e">
        <f>ROUND((1+SDI_COW)*(SUMIF(#REF!,RECAP!L$7,#REF!)),0)</f>
        <v>#REF!</v>
      </c>
      <c r="M34" s="110" t="e">
        <f>ROUND((1+SDI_COW)*(SUMIF(#REF!,RECAP!M$7,#REF!)),0)</f>
        <v>#REF!</v>
      </c>
      <c r="N34" s="110" t="e">
        <f>ROUND((1+SDI_COW)*(SUMIF(#REF!,RECAP!N$7,#REF!)),0)</f>
        <v>#REF!</v>
      </c>
      <c r="O34" s="110" t="e">
        <f>ROUND((1+SDI_COW)*(SUMIF(#REF!,RECAP!O$7,#REF!)),0)</f>
        <v>#REF!</v>
      </c>
      <c r="P34" s="110" t="e">
        <f>ROUND((1+SDI_COW)*(SUMIF(#REF!,RECAP!P$7,#REF!)),0)</f>
        <v>#REF!</v>
      </c>
      <c r="Q34" s="110" t="e">
        <f>ROUND((1+SDI_COW)*(SUMIF(#REF!,RECAP!Q$7,#REF!)),0)</f>
        <v>#REF!</v>
      </c>
      <c r="R34" s="110" t="e">
        <f>ROUND((1+SDI_COW)*(SUMIF(#REF!,RECAP!R$7,#REF!)),0)</f>
        <v>#REF!</v>
      </c>
      <c r="S34" s="110" t="e">
        <f>ROUND((1+SDI_COW)*(SUMIF(#REF!,RECAP!S$7,#REF!)),0)</f>
        <v>#REF!</v>
      </c>
      <c r="T34" s="110" t="e">
        <f>ROUND((1+SDI_COW)*(SUMIF(#REF!,RECAP!T$7,#REF!)),0)</f>
        <v>#REF!</v>
      </c>
      <c r="U34" s="110" t="e">
        <f>ROUND((1+SDI_COW)*(SUMIF(#REF!,RECAP!U$7,#REF!)),0)</f>
        <v>#REF!</v>
      </c>
      <c r="V34" s="110" t="e">
        <f>ROUND((1+SDI_COW)*(SUMIF(#REF!,RECAP!V$7,#REF!)),0)</f>
        <v>#REF!</v>
      </c>
      <c r="W34" s="110" t="e">
        <f>ROUND((1+SDI_COW)*(SUMIF(#REF!,RECAP!W$7,#REF!)),0)</f>
        <v>#REF!</v>
      </c>
      <c r="X34" s="110" t="e">
        <f>ROUND((1+SDI_COW)*(SUMIF(#REF!,RECAP!X$7,#REF!)),0)</f>
        <v>#REF!</v>
      </c>
      <c r="Y34" s="110" t="e">
        <f>ROUND((1+SDI_COW)*(SUMIF(#REF!,RECAP!Y$7,#REF!)),0)</f>
        <v>#REF!</v>
      </c>
      <c r="Z34" s="110" t="e">
        <f>ROUND((1+SDI_COW)*(SUMIF(#REF!,RECAP!Z$7,#REF!)),0)</f>
        <v>#REF!</v>
      </c>
      <c r="AA34" s="114" t="e">
        <f>ROUND((1+SDI_COW)*(SUMIF(#REF!,RECAP!AA$7,#REF!)),0)</f>
        <v>#REF!</v>
      </c>
      <c r="AB34" s="316">
        <f t="shared" si="1"/>
        <v>174550</v>
      </c>
      <c r="AD34" s="356" t="e">
        <f>ROUND((1+SDI_COW)*#REF!,0)</f>
        <v>#REF!</v>
      </c>
      <c r="AE34" s="357" t="e">
        <f>#REF!</f>
        <v>#REF!</v>
      </c>
      <c r="AF34" s="316" t="e">
        <f>ROUND((1+SDI_COW)*#REF!,0)</f>
        <v>#REF!</v>
      </c>
      <c r="AG34" s="316" t="e">
        <f>#REF!</f>
        <v>#REF!</v>
      </c>
      <c r="AI34" s="317"/>
    </row>
    <row r="35" spans="3:36" s="90" customFormat="1" ht="20.25" customHeight="1">
      <c r="C35" s="91"/>
      <c r="E35" s="297" t="s">
        <v>73</v>
      </c>
      <c r="F35" s="298" t="s">
        <v>74</v>
      </c>
      <c r="G35" s="298"/>
      <c r="H35" s="299"/>
      <c r="I35" s="299"/>
      <c r="J35" s="115"/>
      <c r="K35" s="115"/>
      <c r="L35" s="116"/>
      <c r="M35" s="116"/>
      <c r="N35" s="116"/>
      <c r="O35" s="116"/>
      <c r="P35" s="117"/>
      <c r="Q35" s="118"/>
      <c r="R35" s="118"/>
      <c r="S35" s="118"/>
      <c r="T35" s="118"/>
      <c r="U35" s="118"/>
      <c r="V35" s="118"/>
      <c r="W35" s="117"/>
      <c r="X35" s="118"/>
      <c r="Y35" s="118"/>
      <c r="Z35" s="118"/>
      <c r="AA35" s="119"/>
      <c r="AB35" s="318"/>
      <c r="AC35" s="303"/>
      <c r="AD35" s="356"/>
      <c r="AE35" s="357"/>
      <c r="AF35" s="316"/>
      <c r="AG35" s="316"/>
      <c r="AH35" s="303"/>
      <c r="AI35" s="317"/>
      <c r="AJ35" s="303"/>
    </row>
    <row r="36" spans="3:36" ht="20.25" customHeight="1">
      <c r="C36" s="91"/>
      <c r="E36" s="300" t="s">
        <v>75</v>
      </c>
      <c r="F36" s="301" t="s">
        <v>76</v>
      </c>
      <c r="G36" s="301"/>
      <c r="H36" s="296">
        <v>0</v>
      </c>
      <c r="I36" s="296">
        <v>405100</v>
      </c>
      <c r="J36" s="110" t="e">
        <f>ROUND((1+SDI_COW)*(SUMIF(#REF!,RECAP!J$7,#REF!)),0)</f>
        <v>#REF!</v>
      </c>
      <c r="K36" s="110" t="e">
        <f>ROUND((1+SDI_COW)*(SUMIF(#REF!,RECAP!K$7,#REF!)),0)</f>
        <v>#REF!</v>
      </c>
      <c r="L36" s="110" t="e">
        <f>ROUND((1+SDI_COW)*(SUMIF(#REF!,RECAP!L$7,#REF!)),0)</f>
        <v>#REF!</v>
      </c>
      <c r="M36" s="110" t="e">
        <f>ROUND((1+SDI_COW)*(SUMIF(#REF!,RECAP!M$7,#REF!)),0)</f>
        <v>#REF!</v>
      </c>
      <c r="N36" s="110" t="e">
        <f>ROUND((1+SDI_COW)*(SUMIF(#REF!,RECAP!N$7,#REF!)),0)</f>
        <v>#REF!</v>
      </c>
      <c r="O36" s="110" t="e">
        <f>ROUND((1+SDI_COW)*(SUMIF(#REF!,RECAP!O$7,#REF!)),0)</f>
        <v>#REF!</v>
      </c>
      <c r="P36" s="110" t="e">
        <f>ROUND((1+SDI_COW)*(SUMIF(#REF!,RECAP!P$7,#REF!)),0)</f>
        <v>#REF!</v>
      </c>
      <c r="Q36" s="110" t="e">
        <f>ROUND((1+SDI_COW)*(SUMIF(#REF!,RECAP!Q$7,#REF!)),0)</f>
        <v>#REF!</v>
      </c>
      <c r="R36" s="110" t="e">
        <f>ROUND((1+SDI_COW)*(SUMIF(#REF!,RECAP!R$7,#REF!)),0)</f>
        <v>#REF!</v>
      </c>
      <c r="S36" s="110" t="e">
        <f>ROUND((1+SDI_COW)*(SUMIF(#REF!,RECAP!S$7,#REF!)),0)</f>
        <v>#REF!</v>
      </c>
      <c r="T36" s="110" t="e">
        <f>ROUND((1+SDI_COW)*(SUMIF(#REF!,RECAP!T$7,#REF!)),0)</f>
        <v>#REF!</v>
      </c>
      <c r="U36" s="110" t="e">
        <f>ROUND((1+SDI_COW)*(SUMIF(#REF!,RECAP!U$7,#REF!)),0)</f>
        <v>#REF!</v>
      </c>
      <c r="V36" s="110" t="e">
        <f>ROUND((1+SDI_COW)*(SUMIF(#REF!,RECAP!V$7,#REF!)),0)</f>
        <v>#REF!</v>
      </c>
      <c r="W36" s="110" t="e">
        <f>ROUND((1+SDI_COW)*(SUMIF(#REF!,RECAP!W$7,#REF!)),0)</f>
        <v>#REF!</v>
      </c>
      <c r="X36" s="110" t="e">
        <f>ROUND((1+SDI_COW)*(SUMIF(#REF!,RECAP!X$7,#REF!)),0)</f>
        <v>#REF!</v>
      </c>
      <c r="Y36" s="110" t="e">
        <f>ROUND((1+SDI_COW)*(SUMIF(#REF!,RECAP!Y$7,#REF!)),0)</f>
        <v>#REF!</v>
      </c>
      <c r="Z36" s="110" t="e">
        <f>ROUND((1+SDI_COW)*(SUMIF(#REF!,RECAP!Z$7,#REF!)),0)</f>
        <v>#REF!</v>
      </c>
      <c r="AA36" s="114" t="e">
        <f>ROUND((1+SDI_COW)*(SUMIF(#REF!,RECAP!AA$7,#REF!)),0)</f>
        <v>#REF!</v>
      </c>
      <c r="AB36" s="316">
        <f>H36+I36</f>
        <v>405100</v>
      </c>
      <c r="AD36" s="356" t="e">
        <f>ROUND((1+SDI_COW)*#REF!,0)</f>
        <v>#REF!</v>
      </c>
      <c r="AE36" s="357" t="e">
        <f>#REF!</f>
        <v>#REF!</v>
      </c>
      <c r="AF36" s="316" t="e">
        <f>ROUND((1+SDI_COW)*#REF!,0)</f>
        <v>#REF!</v>
      </c>
      <c r="AG36" s="316" t="e">
        <f>#REF!</f>
        <v>#REF!</v>
      </c>
      <c r="AI36" s="317"/>
    </row>
    <row r="37" spans="3:36" ht="19.75" customHeight="1">
      <c r="C37" s="91"/>
      <c r="E37" s="300" t="s">
        <v>77</v>
      </c>
      <c r="F37" s="301" t="s">
        <v>78</v>
      </c>
      <c r="G37" s="301"/>
      <c r="H37" s="296">
        <v>0</v>
      </c>
      <c r="I37" s="296">
        <v>315000</v>
      </c>
      <c r="J37" s="110" t="e">
        <f>ROUND((1+SDI_COW)*(SUMIF(#REF!,RECAP!J$7,#REF!)),0)</f>
        <v>#REF!</v>
      </c>
      <c r="K37" s="110" t="e">
        <f>ROUND((1+SDI_COW)*(SUMIF(#REF!,RECAP!K$7,#REF!)),0)</f>
        <v>#REF!</v>
      </c>
      <c r="L37" s="110" t="e">
        <f>ROUND((1+SDI_COW)*(SUMIF(#REF!,RECAP!L$7,#REF!)),0)</f>
        <v>#REF!</v>
      </c>
      <c r="M37" s="110" t="e">
        <f>ROUND((1+SDI_COW)*(SUMIF(#REF!,RECAP!M$7,#REF!)),0)</f>
        <v>#REF!</v>
      </c>
      <c r="N37" s="110" t="e">
        <f>ROUND((1+SDI_COW)*(SUMIF(#REF!,RECAP!N$7,#REF!)),0)</f>
        <v>#REF!</v>
      </c>
      <c r="O37" s="110" t="e">
        <f>ROUND((1+SDI_COW)*(SUMIF(#REF!,RECAP!O$7,#REF!)),0)</f>
        <v>#REF!</v>
      </c>
      <c r="P37" s="110" t="e">
        <f>ROUND((1+SDI_COW)*(SUMIF(#REF!,RECAP!P$7,#REF!)),0)</f>
        <v>#REF!</v>
      </c>
      <c r="Q37" s="110" t="e">
        <f>ROUND((1+SDI_COW)*(SUMIF(#REF!,RECAP!Q$7,#REF!)),0)</f>
        <v>#REF!</v>
      </c>
      <c r="R37" s="110" t="e">
        <f>ROUND((1+SDI_COW)*(SUMIF(#REF!,RECAP!R$7,#REF!)),0)</f>
        <v>#REF!</v>
      </c>
      <c r="S37" s="110" t="e">
        <f>ROUND((1+SDI_COW)*(SUMIF(#REF!,RECAP!S$7,#REF!)),0)</f>
        <v>#REF!</v>
      </c>
      <c r="T37" s="110" t="e">
        <f>ROUND((1+SDI_COW)*(SUMIF(#REF!,RECAP!T$7,#REF!)),0)</f>
        <v>#REF!</v>
      </c>
      <c r="U37" s="110" t="e">
        <f>ROUND((1+SDI_COW)*(SUMIF(#REF!,RECAP!U$7,#REF!)),0)</f>
        <v>#REF!</v>
      </c>
      <c r="V37" s="110" t="e">
        <f>ROUND((1+SDI_COW)*(SUMIF(#REF!,RECAP!V$7,#REF!)),0)</f>
        <v>#REF!</v>
      </c>
      <c r="W37" s="110" t="e">
        <f>ROUND((1+SDI_COW)*(SUMIF(#REF!,RECAP!W$7,#REF!)),0)</f>
        <v>#REF!</v>
      </c>
      <c r="X37" s="110" t="e">
        <f>ROUND((1+SDI_COW)*(SUMIF(#REF!,RECAP!X$7,#REF!)),0)</f>
        <v>#REF!</v>
      </c>
      <c r="Y37" s="110" t="e">
        <f>ROUND((1+SDI_COW)*(SUMIF(#REF!,RECAP!Y$7,#REF!)),0)</f>
        <v>#REF!</v>
      </c>
      <c r="Z37" s="110" t="e">
        <f>ROUND((1+SDI_COW)*(SUMIF(#REF!,RECAP!Z$7,#REF!)),0)</f>
        <v>#REF!</v>
      </c>
      <c r="AA37" s="114" t="e">
        <f>ROUND((1+SDI_COW)*(SUMIF(#REF!,RECAP!AA$7,#REF!)),0)</f>
        <v>#REF!</v>
      </c>
      <c r="AB37" s="316">
        <f t="shared" ref="AB37:AB38" si="2">H37+I37</f>
        <v>315000</v>
      </c>
      <c r="AD37" s="356" t="e">
        <f>ROUND((1+SDI_COW)*#REF!,0)</f>
        <v>#REF!</v>
      </c>
      <c r="AE37" s="357" t="e">
        <f>#REF!</f>
        <v>#REF!</v>
      </c>
      <c r="AF37" s="316" t="e">
        <f>ROUND((1+SDI_COW)*#REF!,0)</f>
        <v>#REF!</v>
      </c>
      <c r="AG37" s="316" t="e">
        <f>#REF!</f>
        <v>#REF!</v>
      </c>
      <c r="AI37" s="319"/>
    </row>
    <row r="38" spans="3:36" ht="20.25" customHeight="1">
      <c r="C38" s="91"/>
      <c r="E38" s="300" t="s">
        <v>79</v>
      </c>
      <c r="F38" s="301" t="s">
        <v>80</v>
      </c>
      <c r="G38" s="301"/>
      <c r="H38" s="296">
        <v>0</v>
      </c>
      <c r="I38" s="296">
        <v>435305</v>
      </c>
      <c r="J38" s="110" t="e">
        <f>ROUND((1+SDI_COW)*(SUMIF(#REF!,RECAP!J$7,#REF!)),0)</f>
        <v>#REF!</v>
      </c>
      <c r="K38" s="110" t="e">
        <f>ROUND((1+SDI_COW)*(SUMIF(#REF!,RECAP!K$7,#REF!)),0)</f>
        <v>#REF!</v>
      </c>
      <c r="L38" s="110" t="e">
        <f>ROUND((1+SDI_COW)*(SUMIF(#REF!,RECAP!L$7,#REF!)),0)</f>
        <v>#REF!</v>
      </c>
      <c r="M38" s="110" t="e">
        <f>ROUND((1+SDI_COW)*(SUMIF(#REF!,RECAP!M$7,#REF!)),0)</f>
        <v>#REF!</v>
      </c>
      <c r="N38" s="110" t="e">
        <f>ROUND((1+SDI_COW)*(SUMIF(#REF!,RECAP!N$7,#REF!)),0)</f>
        <v>#REF!</v>
      </c>
      <c r="O38" s="110" t="e">
        <f>ROUND((1+SDI_COW)*(SUMIF(#REF!,RECAP!O$7,#REF!)),0)</f>
        <v>#REF!</v>
      </c>
      <c r="P38" s="110" t="e">
        <f>ROUND((1+SDI_COW)*(SUMIF(#REF!,RECAP!P$7,#REF!)),0)</f>
        <v>#REF!</v>
      </c>
      <c r="Q38" s="110" t="e">
        <f>ROUND((1+SDI_COW)*(SUMIF(#REF!,RECAP!Q$7,#REF!)),0)</f>
        <v>#REF!</v>
      </c>
      <c r="R38" s="110" t="e">
        <f>ROUND((1+SDI_COW)*(SUMIF(#REF!,RECAP!R$7,#REF!)),0)</f>
        <v>#REF!</v>
      </c>
      <c r="S38" s="110" t="e">
        <f>ROUND((1+SDI_COW)*(SUMIF(#REF!,RECAP!S$7,#REF!)),0)</f>
        <v>#REF!</v>
      </c>
      <c r="T38" s="110" t="e">
        <f>ROUND((1+SDI_COW)*(SUMIF(#REF!,RECAP!T$7,#REF!)),0)</f>
        <v>#REF!</v>
      </c>
      <c r="U38" s="110" t="e">
        <f>ROUND((1+SDI_COW)*(SUMIF(#REF!,RECAP!U$7,#REF!)),0)</f>
        <v>#REF!</v>
      </c>
      <c r="V38" s="110" t="e">
        <f>ROUND((1+SDI_COW)*(SUMIF(#REF!,RECAP!V$7,#REF!)),0)</f>
        <v>#REF!</v>
      </c>
      <c r="W38" s="110" t="e">
        <f>ROUND((1+SDI_COW)*(SUMIF(#REF!,RECAP!W$7,#REF!)),0)</f>
        <v>#REF!</v>
      </c>
      <c r="X38" s="110" t="e">
        <f>ROUND((1+SDI_COW)*(SUMIF(#REF!,RECAP!X$7,#REF!)),0)</f>
        <v>#REF!</v>
      </c>
      <c r="Y38" s="110" t="e">
        <f>ROUND((1+SDI_COW)*(SUMIF(#REF!,RECAP!Y$7,#REF!)),0)</f>
        <v>#REF!</v>
      </c>
      <c r="Z38" s="110" t="e">
        <f>ROUND((1+SDI_COW)*(SUMIF(#REF!,RECAP!Z$7,#REF!)),0)</f>
        <v>#REF!</v>
      </c>
      <c r="AA38" s="114" t="e">
        <f>ROUND((1+SDI_COW)*(SUMIF(#REF!,RECAP!AA$7,#REF!)),0)</f>
        <v>#REF!</v>
      </c>
      <c r="AB38" s="316">
        <f t="shared" si="2"/>
        <v>435305</v>
      </c>
      <c r="AD38" s="356" t="e">
        <f>ROUND((1+SDI_COW)*#REF!,0)</f>
        <v>#REF!</v>
      </c>
      <c r="AE38" s="357" t="e">
        <f>#REF!</f>
        <v>#REF!</v>
      </c>
      <c r="AF38" s="316" t="e">
        <f>ROUND((1+SDI_COW)*#REF!,0)</f>
        <v>#REF!</v>
      </c>
      <c r="AG38" s="316" t="e">
        <f>#REF!</f>
        <v>#REF!</v>
      </c>
      <c r="AI38" s="319"/>
    </row>
    <row r="39" spans="3:36" s="90" customFormat="1" ht="20.25" customHeight="1">
      <c r="C39" s="91"/>
      <c r="E39" s="297" t="s">
        <v>81</v>
      </c>
      <c r="F39" s="298" t="s">
        <v>82</v>
      </c>
      <c r="G39" s="298"/>
      <c r="H39" s="299"/>
      <c r="I39" s="299"/>
      <c r="J39" s="115"/>
      <c r="K39" s="115"/>
      <c r="L39" s="116"/>
      <c r="M39" s="116"/>
      <c r="N39" s="116"/>
      <c r="O39" s="116"/>
      <c r="P39" s="117"/>
      <c r="Q39" s="118"/>
      <c r="R39" s="118"/>
      <c r="S39" s="118"/>
      <c r="T39" s="118"/>
      <c r="U39" s="118"/>
      <c r="V39" s="118"/>
      <c r="W39" s="117"/>
      <c r="X39" s="118"/>
      <c r="Y39" s="118"/>
      <c r="Z39" s="118"/>
      <c r="AA39" s="119"/>
      <c r="AB39" s="318"/>
      <c r="AC39" s="303"/>
      <c r="AD39" s="356"/>
      <c r="AE39" s="357"/>
      <c r="AF39" s="316"/>
      <c r="AG39" s="316"/>
      <c r="AH39" s="303"/>
      <c r="AI39" s="317"/>
      <c r="AJ39" s="303"/>
    </row>
    <row r="40" spans="3:36" ht="20.25" customHeight="1">
      <c r="C40" s="91"/>
      <c r="E40" s="300" t="s">
        <v>83</v>
      </c>
      <c r="F40" s="301" t="s">
        <v>84</v>
      </c>
      <c r="G40" s="301"/>
      <c r="H40" s="296">
        <v>0</v>
      </c>
      <c r="I40" s="296">
        <v>1287726</v>
      </c>
      <c r="J40" s="110" t="e">
        <f>ROUND((1+SDI_COW)*(SUMIF(#REF!,RECAP!J$7,#REF!)),0)</f>
        <v>#REF!</v>
      </c>
      <c r="K40" s="110" t="e">
        <f>ROUND((1+SDI_COW)*(SUMIF(#REF!,RECAP!K$7,#REF!)),0)</f>
        <v>#REF!</v>
      </c>
      <c r="L40" s="110" t="e">
        <f>ROUND((1+SDI_COW)*(SUMIF(#REF!,RECAP!L$7,#REF!)),0)</f>
        <v>#REF!</v>
      </c>
      <c r="M40" s="110" t="e">
        <f>ROUND((1+SDI_COW)*(SUMIF(#REF!,RECAP!M$7,#REF!)),0)</f>
        <v>#REF!</v>
      </c>
      <c r="N40" s="110" t="e">
        <f>ROUND((1+SDI_COW)*(SUMIF(#REF!,RECAP!N$7,#REF!)),0)</f>
        <v>#REF!</v>
      </c>
      <c r="O40" s="110" t="e">
        <f>ROUND((1+SDI_COW)*(SUMIF(#REF!,RECAP!O$7,#REF!)),0)</f>
        <v>#REF!</v>
      </c>
      <c r="P40" s="110" t="e">
        <f>ROUND((1+SDI_COW)*(SUMIF(#REF!,RECAP!P$7,#REF!)),0)</f>
        <v>#REF!</v>
      </c>
      <c r="Q40" s="110" t="e">
        <f>ROUND((1+SDI_COW)*(SUMIF(#REF!,RECAP!Q$7,#REF!)),0)</f>
        <v>#REF!</v>
      </c>
      <c r="R40" s="110" t="e">
        <f>ROUND((1+SDI_COW)*(SUMIF(#REF!,RECAP!R$7,#REF!)),0)</f>
        <v>#REF!</v>
      </c>
      <c r="S40" s="110" t="e">
        <f>ROUND((1+SDI_COW)*(SUMIF(#REF!,RECAP!S$7,#REF!)),0)</f>
        <v>#REF!</v>
      </c>
      <c r="T40" s="110" t="e">
        <f>ROUND((1+SDI_COW)*(SUMIF(#REF!,RECAP!T$7,#REF!)),0)</f>
        <v>#REF!</v>
      </c>
      <c r="U40" s="110" t="e">
        <f>ROUND((1+SDI_COW)*(SUMIF(#REF!,RECAP!U$7,#REF!)),0)</f>
        <v>#REF!</v>
      </c>
      <c r="V40" s="110" t="e">
        <f>ROUND((1+SDI_COW)*(SUMIF(#REF!,RECAP!V$7,#REF!)),0)</f>
        <v>#REF!</v>
      </c>
      <c r="W40" s="110" t="e">
        <f>ROUND((1+SDI_COW)*(SUMIF(#REF!,RECAP!W$7,#REF!)),0)</f>
        <v>#REF!</v>
      </c>
      <c r="X40" s="110" t="e">
        <f>ROUND((1+SDI_COW)*(SUMIF(#REF!,RECAP!X$7,#REF!)),0)</f>
        <v>#REF!</v>
      </c>
      <c r="Y40" s="110" t="e">
        <f>ROUND((1+SDI_COW)*(SUMIF(#REF!,RECAP!Y$7,#REF!)),0)</f>
        <v>#REF!</v>
      </c>
      <c r="Z40" s="110" t="e">
        <f>ROUND((1+SDI_COW)*(SUMIF(#REF!,RECAP!Z$7,#REF!)),0)</f>
        <v>#REF!</v>
      </c>
      <c r="AA40" s="114" t="e">
        <f>ROUND((1+SDI_COW)*(SUMIF(#REF!,RECAP!AA$7,#REF!)),0)</f>
        <v>#REF!</v>
      </c>
      <c r="AB40" s="316">
        <f>H40+I40</f>
        <v>1287726</v>
      </c>
      <c r="AD40" s="356" t="e">
        <f>ROUND((1+SDI_COW)*#REF!,0)</f>
        <v>#REF!</v>
      </c>
      <c r="AE40" s="357" t="e">
        <f>#REF!</f>
        <v>#REF!</v>
      </c>
      <c r="AF40" s="316" t="e">
        <f>ROUND((1+SDI_COW)*#REF!,0)</f>
        <v>#REF!</v>
      </c>
      <c r="AG40" s="316" t="e">
        <f>#REF!</f>
        <v>#REF!</v>
      </c>
      <c r="AI40" s="317"/>
    </row>
    <row r="41" spans="3:36" ht="20.25" customHeight="1">
      <c r="C41" s="91"/>
      <c r="E41" s="300" t="s">
        <v>85</v>
      </c>
      <c r="F41" s="301" t="s">
        <v>86</v>
      </c>
      <c r="G41" s="301"/>
      <c r="H41" s="296">
        <v>0</v>
      </c>
      <c r="I41" s="296">
        <v>385609</v>
      </c>
      <c r="J41" s="110" t="e">
        <f>ROUND((1+SDI_COW)*(SUMIF(#REF!,RECAP!J$7,#REF!)),0)</f>
        <v>#REF!</v>
      </c>
      <c r="K41" s="110" t="e">
        <f>ROUND((1+SDI_COW)*(SUMIF(#REF!,RECAP!K$7,#REF!)),0)</f>
        <v>#REF!</v>
      </c>
      <c r="L41" s="110" t="e">
        <f>ROUND((1+SDI_COW)*(SUMIF(#REF!,RECAP!L$7,#REF!)),0)</f>
        <v>#REF!</v>
      </c>
      <c r="M41" s="110" t="e">
        <f>ROUND((1+SDI_COW)*(SUMIF(#REF!,RECAP!M$7,#REF!)),0)</f>
        <v>#REF!</v>
      </c>
      <c r="N41" s="110" t="e">
        <f>ROUND((1+SDI_COW)*(SUMIF(#REF!,RECAP!N$7,#REF!)),0)</f>
        <v>#REF!</v>
      </c>
      <c r="O41" s="110" t="e">
        <f>ROUND((1+SDI_COW)*(SUMIF(#REF!,RECAP!O$7,#REF!)),0)</f>
        <v>#REF!</v>
      </c>
      <c r="P41" s="110" t="e">
        <f>ROUND((1+SDI_COW)*(SUMIF(#REF!,RECAP!P$7,#REF!)),0)</f>
        <v>#REF!</v>
      </c>
      <c r="Q41" s="110" t="e">
        <f>ROUND((1+SDI_COW)*(SUMIF(#REF!,RECAP!Q$7,#REF!)),0)</f>
        <v>#REF!</v>
      </c>
      <c r="R41" s="110" t="e">
        <f>ROUND((1+SDI_COW)*(SUMIF(#REF!,RECAP!R$7,#REF!)),0)</f>
        <v>#REF!</v>
      </c>
      <c r="S41" s="110" t="e">
        <f>ROUND((1+SDI_COW)*(SUMIF(#REF!,RECAP!S$7,#REF!)),0)</f>
        <v>#REF!</v>
      </c>
      <c r="T41" s="110" t="e">
        <f>ROUND((1+SDI_COW)*(SUMIF(#REF!,RECAP!T$7,#REF!)),0)</f>
        <v>#REF!</v>
      </c>
      <c r="U41" s="110" t="e">
        <f>ROUND((1+SDI_COW)*(SUMIF(#REF!,RECAP!U$7,#REF!)),0)</f>
        <v>#REF!</v>
      </c>
      <c r="V41" s="110" t="e">
        <f>ROUND((1+SDI_COW)*(SUMIF(#REF!,RECAP!V$7,#REF!)),0)</f>
        <v>#REF!</v>
      </c>
      <c r="W41" s="110" t="e">
        <f>ROUND((1+SDI_COW)*(SUMIF(#REF!,RECAP!W$7,#REF!)),0)</f>
        <v>#REF!</v>
      </c>
      <c r="X41" s="110" t="e">
        <f>ROUND((1+SDI_COW)*(SUMIF(#REF!,RECAP!X$7,#REF!)),0)</f>
        <v>#REF!</v>
      </c>
      <c r="Y41" s="110" t="e">
        <f>ROUND((1+SDI_COW)*(SUMIF(#REF!,RECAP!Y$7,#REF!)),0)</f>
        <v>#REF!</v>
      </c>
      <c r="Z41" s="110" t="e">
        <f>ROUND((1+SDI_COW)*(SUMIF(#REF!,RECAP!Z$7,#REF!)),0)</f>
        <v>#REF!</v>
      </c>
      <c r="AA41" s="114" t="e">
        <f>ROUND((1+SDI_COW)*(SUMIF(#REF!,RECAP!AA$7,#REF!)),0)</f>
        <v>#REF!</v>
      </c>
      <c r="AB41" s="316">
        <f t="shared" ref="AB41:AB42" si="3">H41+I41</f>
        <v>385609</v>
      </c>
      <c r="AD41" s="356" t="e">
        <f>ROUND((1+SDI_COW)*#REF!,0)</f>
        <v>#REF!</v>
      </c>
      <c r="AE41" s="357" t="e">
        <f>#REF!</f>
        <v>#REF!</v>
      </c>
      <c r="AF41" s="316" t="e">
        <f>ROUND((1+SDI_COW)*#REF!,0)</f>
        <v>#REF!</v>
      </c>
      <c r="AG41" s="316" t="e">
        <f>#REF!</f>
        <v>#REF!</v>
      </c>
      <c r="AI41" s="317"/>
    </row>
    <row r="42" spans="3:36" ht="20.25" customHeight="1">
      <c r="C42" s="91"/>
      <c r="E42" s="300" t="s">
        <v>87</v>
      </c>
      <c r="F42" s="301" t="s">
        <v>88</v>
      </c>
      <c r="G42" s="301"/>
      <c r="H42" s="296">
        <v>0</v>
      </c>
      <c r="I42" s="296">
        <v>254438</v>
      </c>
      <c r="J42" s="110" t="e">
        <f>ROUND((1+SDI_COW)*(SUMIF(#REF!,RECAP!J$7,#REF!)),0)</f>
        <v>#REF!</v>
      </c>
      <c r="K42" s="110" t="e">
        <f>ROUND((1+SDI_COW)*(SUMIF(#REF!,RECAP!K$7,#REF!)),0)</f>
        <v>#REF!</v>
      </c>
      <c r="L42" s="110" t="e">
        <f>ROUND((1+SDI_COW)*(SUMIF(#REF!,RECAP!L$7,#REF!)),0)</f>
        <v>#REF!</v>
      </c>
      <c r="M42" s="110" t="e">
        <f>ROUND((1+SDI_COW)*(SUMIF(#REF!,RECAP!M$7,#REF!)),0)</f>
        <v>#REF!</v>
      </c>
      <c r="N42" s="110" t="e">
        <f>ROUND((1+SDI_COW)*(SUMIF(#REF!,RECAP!N$7,#REF!)),0)</f>
        <v>#REF!</v>
      </c>
      <c r="O42" s="110" t="e">
        <f>ROUND((1+SDI_COW)*(SUMIF(#REF!,RECAP!O$7,#REF!)),0)</f>
        <v>#REF!</v>
      </c>
      <c r="P42" s="110" t="e">
        <f>ROUND((1+SDI_COW)*(SUMIF(#REF!,RECAP!P$7,#REF!)),0)</f>
        <v>#REF!</v>
      </c>
      <c r="Q42" s="110" t="e">
        <f>ROUND((1+SDI_COW)*(SUMIF(#REF!,RECAP!Q$7,#REF!)),0)</f>
        <v>#REF!</v>
      </c>
      <c r="R42" s="110" t="e">
        <f>ROUND((1+SDI_COW)*(SUMIF(#REF!,RECAP!R$7,#REF!)),0)</f>
        <v>#REF!</v>
      </c>
      <c r="S42" s="110" t="e">
        <f>ROUND((1+SDI_COW)*(SUMIF(#REF!,RECAP!S$7,#REF!)),0)</f>
        <v>#REF!</v>
      </c>
      <c r="T42" s="110" t="e">
        <f>ROUND((1+SDI_COW)*(SUMIF(#REF!,RECAP!T$7,#REF!)),0)</f>
        <v>#REF!</v>
      </c>
      <c r="U42" s="110" t="e">
        <f>ROUND((1+SDI_COW)*(SUMIF(#REF!,RECAP!U$7,#REF!)),0)</f>
        <v>#REF!</v>
      </c>
      <c r="V42" s="110" t="e">
        <f>ROUND((1+SDI_COW)*(SUMIF(#REF!,RECAP!V$7,#REF!)),0)</f>
        <v>#REF!</v>
      </c>
      <c r="W42" s="110" t="e">
        <f>ROUND((1+SDI_COW)*(SUMIF(#REF!,RECAP!W$7,#REF!)),0)</f>
        <v>#REF!</v>
      </c>
      <c r="X42" s="110" t="e">
        <f>ROUND((1+SDI_COW)*(SUMIF(#REF!,RECAP!X$7,#REF!)),0)</f>
        <v>#REF!</v>
      </c>
      <c r="Y42" s="110" t="e">
        <f>ROUND((1+SDI_COW)*(SUMIF(#REF!,RECAP!Y$7,#REF!)),0)</f>
        <v>#REF!</v>
      </c>
      <c r="Z42" s="110" t="e">
        <f>ROUND((1+SDI_COW)*(SUMIF(#REF!,RECAP!Z$7,#REF!)),0)</f>
        <v>#REF!</v>
      </c>
      <c r="AA42" s="114" t="e">
        <f>ROUND((1+SDI_COW)*(SUMIF(#REF!,RECAP!AA$7,#REF!)),0)</f>
        <v>#REF!</v>
      </c>
      <c r="AB42" s="316">
        <f t="shared" si="3"/>
        <v>254438</v>
      </c>
      <c r="AD42" s="356" t="e">
        <f>ROUND((1+SDI_COW)*#REF!,0)</f>
        <v>#REF!</v>
      </c>
      <c r="AE42" s="357" t="e">
        <f>#REF!</f>
        <v>#REF!</v>
      </c>
      <c r="AF42" s="316" t="e">
        <f>ROUND((1+SDI_COW)*#REF!,0)</f>
        <v>#REF!</v>
      </c>
      <c r="AG42" s="316" t="e">
        <f>#REF!</f>
        <v>#REF!</v>
      </c>
      <c r="AI42" s="319"/>
    </row>
    <row r="43" spans="3:36" s="90" customFormat="1" ht="20.25" customHeight="1">
      <c r="C43" s="91"/>
      <c r="E43" s="297" t="s">
        <v>89</v>
      </c>
      <c r="F43" s="298" t="s">
        <v>90</v>
      </c>
      <c r="G43" s="298"/>
      <c r="H43" s="299"/>
      <c r="I43" s="299"/>
      <c r="J43" s="115"/>
      <c r="K43" s="115"/>
      <c r="L43" s="116"/>
      <c r="M43" s="116"/>
      <c r="N43" s="116"/>
      <c r="O43" s="116"/>
      <c r="P43" s="117"/>
      <c r="Q43" s="118"/>
      <c r="R43" s="118"/>
      <c r="S43" s="118"/>
      <c r="T43" s="118"/>
      <c r="U43" s="118"/>
      <c r="V43" s="118"/>
      <c r="W43" s="117"/>
      <c r="X43" s="118"/>
      <c r="Y43" s="118"/>
      <c r="Z43" s="118"/>
      <c r="AA43" s="119"/>
      <c r="AB43" s="318"/>
      <c r="AC43" s="303"/>
      <c r="AD43" s="356"/>
      <c r="AE43" s="357"/>
      <c r="AF43" s="316"/>
      <c r="AG43" s="316"/>
      <c r="AH43" s="303"/>
      <c r="AI43" s="317"/>
      <c r="AJ43" s="303"/>
    </row>
    <row r="44" spans="3:36" ht="20.25" customHeight="1">
      <c r="C44" s="91"/>
      <c r="E44" s="300" t="s">
        <v>91</v>
      </c>
      <c r="F44" s="301" t="s">
        <v>92</v>
      </c>
      <c r="G44" s="301"/>
      <c r="H44" s="296">
        <v>30000</v>
      </c>
      <c r="I44" s="296">
        <v>163900</v>
      </c>
      <c r="J44" s="110" t="e">
        <f>ROUND((1+SDI_COW)*(SUMIF(#REF!,RECAP!J$7,#REF!)),0)</f>
        <v>#REF!</v>
      </c>
      <c r="K44" s="110" t="e">
        <f>ROUND((1+SDI_COW)*(SUMIF(#REF!,RECAP!K$7,#REF!)),0)</f>
        <v>#REF!</v>
      </c>
      <c r="L44" s="110" t="e">
        <f>ROUND((1+SDI_COW)*(SUMIF(#REF!,RECAP!L$7,#REF!)),0)</f>
        <v>#REF!</v>
      </c>
      <c r="M44" s="110" t="e">
        <f>ROUND((1+SDI_COW)*(SUMIF(#REF!,RECAP!M$7,#REF!)),0)</f>
        <v>#REF!</v>
      </c>
      <c r="N44" s="110" t="e">
        <f>ROUND((1+SDI_COW)*(SUMIF(#REF!,RECAP!N$7,#REF!)),0)</f>
        <v>#REF!</v>
      </c>
      <c r="O44" s="110" t="e">
        <f>ROUND((1+SDI_COW)*(SUMIF(#REF!,RECAP!O$7,#REF!)),0)</f>
        <v>#REF!</v>
      </c>
      <c r="P44" s="110" t="e">
        <f>ROUND((1+SDI_COW)*(SUMIF(#REF!,RECAP!P$7,#REF!)),0)</f>
        <v>#REF!</v>
      </c>
      <c r="Q44" s="110" t="e">
        <f>ROUND((1+SDI_COW)*(SUMIF(#REF!,RECAP!Q$7,#REF!)),0)</f>
        <v>#REF!</v>
      </c>
      <c r="R44" s="110" t="e">
        <f>ROUND((1+SDI_COW)*(SUMIF(#REF!,RECAP!R$7,#REF!)),0)</f>
        <v>#REF!</v>
      </c>
      <c r="S44" s="110" t="e">
        <f>ROUND((1+SDI_COW)*(SUMIF(#REF!,RECAP!S$7,#REF!)),0)</f>
        <v>#REF!</v>
      </c>
      <c r="T44" s="110" t="e">
        <f>ROUND((1+SDI_COW)*(SUMIF(#REF!,RECAP!T$7,#REF!)),0)</f>
        <v>#REF!</v>
      </c>
      <c r="U44" s="110" t="e">
        <f>ROUND((1+SDI_COW)*(SUMIF(#REF!,RECAP!U$7,#REF!)),0)</f>
        <v>#REF!</v>
      </c>
      <c r="V44" s="110" t="e">
        <f>ROUND((1+SDI_COW)*(SUMIF(#REF!,RECAP!V$7,#REF!)),0)</f>
        <v>#REF!</v>
      </c>
      <c r="W44" s="110" t="e">
        <f>ROUND((1+SDI_COW)*(SUMIF(#REF!,RECAP!W$7,#REF!)),0)</f>
        <v>#REF!</v>
      </c>
      <c r="X44" s="110" t="e">
        <f>ROUND((1+SDI_COW)*(SUMIF(#REF!,RECAP!X$7,#REF!)),0)</f>
        <v>#REF!</v>
      </c>
      <c r="Y44" s="110" t="e">
        <f>ROUND((1+SDI_COW)*(SUMIF(#REF!,RECAP!Y$7,#REF!)),0)</f>
        <v>#REF!</v>
      </c>
      <c r="Z44" s="110" t="e">
        <f>ROUND((1+SDI_COW)*(SUMIF(#REF!,RECAP!Z$7,#REF!)),0)</f>
        <v>#REF!</v>
      </c>
      <c r="AA44" s="114" t="e">
        <f>ROUND((1+SDI_COW)*(SUMIF(#REF!,RECAP!AA$7,#REF!)),0)</f>
        <v>#REF!</v>
      </c>
      <c r="AB44" s="316">
        <f>H44+I44</f>
        <v>193900</v>
      </c>
      <c r="AD44" s="356" t="e">
        <f>ROUND((1+SDI_COW)*#REF!,0)</f>
        <v>#REF!</v>
      </c>
      <c r="AE44" s="357" t="e">
        <f>#REF!</f>
        <v>#REF!</v>
      </c>
      <c r="AF44" s="316" t="e">
        <f>ROUND((1+SDI_COW)*#REF!,0)</f>
        <v>#REF!</v>
      </c>
      <c r="AG44" s="316" t="e">
        <f>#REF!</f>
        <v>#REF!</v>
      </c>
      <c r="AI44" s="319"/>
    </row>
    <row r="45" spans="3:36" ht="19.75" customHeight="1">
      <c r="C45" s="91"/>
      <c r="E45" s="300" t="s">
        <v>781</v>
      </c>
      <c r="F45" s="301" t="s">
        <v>780</v>
      </c>
      <c r="G45" s="301"/>
      <c r="H45" s="296">
        <v>0</v>
      </c>
      <c r="I45" s="296">
        <v>0</v>
      </c>
      <c r="J45" s="110" t="e">
        <f>ROUND((1+SDI_COW)*(SUMIF(#REF!,RECAP!J$7,#REF!)),0)</f>
        <v>#REF!</v>
      </c>
      <c r="K45" s="110" t="e">
        <f>ROUND((1+SDI_COW)*(SUMIF(#REF!,RECAP!K$7,#REF!)),0)</f>
        <v>#REF!</v>
      </c>
      <c r="L45" s="110" t="e">
        <f>ROUND((1+SDI_COW)*(SUMIF(#REF!,RECAP!L$7,#REF!)),0)</f>
        <v>#REF!</v>
      </c>
      <c r="M45" s="110" t="e">
        <f>ROUND((1+SDI_COW)*(SUMIF(#REF!,RECAP!M$7,#REF!)),0)</f>
        <v>#REF!</v>
      </c>
      <c r="N45" s="110" t="e">
        <f>ROUND((1+SDI_COW)*(SUMIF(#REF!,RECAP!N$7,#REF!)),0)</f>
        <v>#REF!</v>
      </c>
      <c r="O45" s="110" t="e">
        <f>ROUND((1+SDI_COW)*(SUMIF(#REF!,RECAP!O$7,#REF!)),0)</f>
        <v>#REF!</v>
      </c>
      <c r="P45" s="110" t="e">
        <f>ROUND((1+SDI_COW)*(SUMIF(#REF!,RECAP!P$7,#REF!)),0)</f>
        <v>#REF!</v>
      </c>
      <c r="Q45" s="110" t="e">
        <f>ROUND((1+SDI_COW)*(SUMIF(#REF!,RECAP!Q$7,#REF!)),0)</f>
        <v>#REF!</v>
      </c>
      <c r="R45" s="110" t="e">
        <f>ROUND((1+SDI_COW)*(SUMIF(#REF!,RECAP!R$7,#REF!)),0)</f>
        <v>#REF!</v>
      </c>
      <c r="S45" s="110" t="e">
        <f>ROUND((1+SDI_COW)*(SUMIF(#REF!,RECAP!S$7,#REF!)),0)</f>
        <v>#REF!</v>
      </c>
      <c r="T45" s="110" t="e">
        <f>ROUND((1+SDI_COW)*(SUMIF(#REF!,RECAP!T$7,#REF!)),0)</f>
        <v>#REF!</v>
      </c>
      <c r="U45" s="110" t="e">
        <f>ROUND((1+SDI_COW)*(SUMIF(#REF!,RECAP!U$7,#REF!)),0)</f>
        <v>#REF!</v>
      </c>
      <c r="V45" s="110" t="e">
        <f>ROUND((1+SDI_COW)*(SUMIF(#REF!,RECAP!V$7,#REF!)),0)</f>
        <v>#REF!</v>
      </c>
      <c r="W45" s="110" t="e">
        <f>ROUND((1+SDI_COW)*(SUMIF(#REF!,RECAP!W$7,#REF!)),0)</f>
        <v>#REF!</v>
      </c>
      <c r="X45" s="110" t="e">
        <f>ROUND((1+SDI_COW)*(SUMIF(#REF!,RECAP!X$7,#REF!)),0)</f>
        <v>#REF!</v>
      </c>
      <c r="Y45" s="110" t="e">
        <f>ROUND((1+SDI_COW)*(SUMIF(#REF!,RECAP!Y$7,#REF!)),0)</f>
        <v>#REF!</v>
      </c>
      <c r="Z45" s="110" t="e">
        <f>ROUND((1+SDI_COW)*(SUMIF(#REF!,RECAP!Z$7,#REF!)),0)</f>
        <v>#REF!</v>
      </c>
      <c r="AA45" s="114" t="e">
        <f>ROUND((1+SDI_COW)*(SUMIF(#REF!,RECAP!AA$7,#REF!)),0)</f>
        <v>#REF!</v>
      </c>
      <c r="AB45" s="316">
        <f t="shared" ref="AB45:AB46" si="4">H45+I45</f>
        <v>0</v>
      </c>
      <c r="AD45" s="356" t="e">
        <f>ROUND((1+SDI_COW)*#REF!,0)</f>
        <v>#REF!</v>
      </c>
      <c r="AE45" s="357" t="e">
        <f>#REF!</f>
        <v>#REF!</v>
      </c>
      <c r="AF45" s="316" t="e">
        <f>ROUND((1+SDI_COW)*#REF!,0)</f>
        <v>#REF!</v>
      </c>
      <c r="AG45" s="316" t="e">
        <f>#REF!</f>
        <v>#REF!</v>
      </c>
      <c r="AI45" s="317"/>
    </row>
    <row r="46" spans="3:36" ht="18" customHeight="1">
      <c r="C46" s="91"/>
      <c r="E46" s="300" t="s">
        <v>93</v>
      </c>
      <c r="F46" s="301" t="s">
        <v>704</v>
      </c>
      <c r="G46" s="301"/>
      <c r="H46" s="296">
        <v>0</v>
      </c>
      <c r="I46" s="296">
        <v>168500</v>
      </c>
      <c r="J46" s="110" t="e">
        <f>ROUND((1+SDI_COW)*(SUMIF(#REF!,RECAP!J$7,#REF!)),0)</f>
        <v>#REF!</v>
      </c>
      <c r="K46" s="110" t="e">
        <f>ROUND((1+SDI_COW)*(SUMIF(#REF!,RECAP!K$7,#REF!)),0)</f>
        <v>#REF!</v>
      </c>
      <c r="L46" s="110" t="e">
        <f>ROUND((1+SDI_COW)*(SUMIF(#REF!,RECAP!L$7,#REF!)),0)</f>
        <v>#REF!</v>
      </c>
      <c r="M46" s="110" t="e">
        <f>ROUND((1+SDI_COW)*(SUMIF(#REF!,RECAP!M$7,#REF!)),0)</f>
        <v>#REF!</v>
      </c>
      <c r="N46" s="110" t="e">
        <f>ROUND((1+SDI_COW)*(SUMIF(#REF!,RECAP!N$7,#REF!)),0)</f>
        <v>#REF!</v>
      </c>
      <c r="O46" s="110" t="e">
        <f>ROUND((1+SDI_COW)*(SUMIF(#REF!,RECAP!O$7,#REF!)),0)</f>
        <v>#REF!</v>
      </c>
      <c r="P46" s="110" t="e">
        <f>ROUND((1+SDI_COW)*(SUMIF(#REF!,RECAP!P$7,#REF!)),0)</f>
        <v>#REF!</v>
      </c>
      <c r="Q46" s="110" t="e">
        <f>ROUND((1+SDI_COW)*(SUMIF(#REF!,RECAP!Q$7,#REF!)),0)</f>
        <v>#REF!</v>
      </c>
      <c r="R46" s="110" t="e">
        <f>ROUND((1+SDI_COW)*(SUMIF(#REF!,RECAP!R$7,#REF!)),0)</f>
        <v>#REF!</v>
      </c>
      <c r="S46" s="110" t="e">
        <f>ROUND((1+SDI_COW)*(SUMIF(#REF!,RECAP!S$7,#REF!)),0)</f>
        <v>#REF!</v>
      </c>
      <c r="T46" s="110" t="e">
        <f>ROUND((1+SDI_COW)*(SUMIF(#REF!,RECAP!T$7,#REF!)),0)</f>
        <v>#REF!</v>
      </c>
      <c r="U46" s="110" t="e">
        <f>ROUND((1+SDI_COW)*(SUMIF(#REF!,RECAP!U$7,#REF!)),0)</f>
        <v>#REF!</v>
      </c>
      <c r="V46" s="110" t="e">
        <f>ROUND((1+SDI_COW)*(SUMIF(#REF!,RECAP!V$7,#REF!)),0)</f>
        <v>#REF!</v>
      </c>
      <c r="W46" s="110" t="e">
        <f>ROUND((1+SDI_COW)*(SUMIF(#REF!,RECAP!W$7,#REF!)),0)</f>
        <v>#REF!</v>
      </c>
      <c r="X46" s="110" t="e">
        <f>ROUND((1+SDI_COW)*(SUMIF(#REF!,RECAP!X$7,#REF!)),0)</f>
        <v>#REF!</v>
      </c>
      <c r="Y46" s="110" t="e">
        <f>ROUND((1+SDI_COW)*(SUMIF(#REF!,RECAP!Y$7,#REF!)),0)</f>
        <v>#REF!</v>
      </c>
      <c r="Z46" s="110" t="e">
        <f>ROUND((1+SDI_COW)*(SUMIF(#REF!,RECAP!Z$7,#REF!)),0)</f>
        <v>#REF!</v>
      </c>
      <c r="AA46" s="114" t="e">
        <f>ROUND((1+SDI_COW)*(SUMIF(#REF!,RECAP!AA$7,#REF!)),0)</f>
        <v>#REF!</v>
      </c>
      <c r="AB46" s="316">
        <f t="shared" si="4"/>
        <v>168500</v>
      </c>
      <c r="AD46" s="356" t="e">
        <f>ROUND((1+SDI_COW)*#REF!,0)</f>
        <v>#REF!</v>
      </c>
      <c r="AE46" s="357" t="e">
        <f>#REF!</f>
        <v>#REF!</v>
      </c>
      <c r="AF46" s="316" t="e">
        <f>ROUND((1+SDI_COW)*#REF!,0)</f>
        <v>#REF!</v>
      </c>
      <c r="AG46" s="316" t="e">
        <f>#REF!</f>
        <v>#REF!</v>
      </c>
      <c r="AI46" s="317"/>
    </row>
    <row r="47" spans="3:36" s="90" customFormat="1" ht="20.25" customHeight="1">
      <c r="C47" s="91"/>
      <c r="E47" s="297" t="s">
        <v>94</v>
      </c>
      <c r="F47" s="298" t="s">
        <v>95</v>
      </c>
      <c r="G47" s="298"/>
      <c r="H47" s="299"/>
      <c r="I47" s="299"/>
      <c r="J47" s="115"/>
      <c r="K47" s="115"/>
      <c r="L47" s="116"/>
      <c r="M47" s="116"/>
      <c r="N47" s="116"/>
      <c r="O47" s="116"/>
      <c r="P47" s="117"/>
      <c r="Q47" s="118"/>
      <c r="R47" s="118"/>
      <c r="S47" s="118"/>
      <c r="T47" s="118"/>
      <c r="U47" s="118"/>
      <c r="V47" s="118"/>
      <c r="W47" s="117"/>
      <c r="X47" s="118"/>
      <c r="Y47" s="118"/>
      <c r="Z47" s="118"/>
      <c r="AA47" s="119"/>
      <c r="AB47" s="318"/>
      <c r="AC47" s="303"/>
      <c r="AD47" s="356"/>
      <c r="AE47" s="357"/>
      <c r="AF47" s="320"/>
      <c r="AG47" s="320"/>
      <c r="AH47" s="303"/>
      <c r="AI47" s="319"/>
      <c r="AJ47" s="303"/>
    </row>
    <row r="48" spans="3:36" ht="21.75" customHeight="1">
      <c r="C48" s="91"/>
      <c r="E48" s="300" t="s">
        <v>702</v>
      </c>
      <c r="F48" s="301" t="s">
        <v>701</v>
      </c>
      <c r="G48" s="113"/>
      <c r="H48" s="296">
        <v>0</v>
      </c>
      <c r="I48" s="296">
        <v>422000</v>
      </c>
      <c r="J48" s="110" t="e">
        <f>ROUND((1+SDI_COW)*(SUMIF(#REF!,RECAP!J$7,#REF!)),0)</f>
        <v>#REF!</v>
      </c>
      <c r="K48" s="110" t="e">
        <f>ROUND((1+SDI_COW)*(SUMIF(#REF!,RECAP!K$7,#REF!)),0)</f>
        <v>#REF!</v>
      </c>
      <c r="L48" s="110" t="e">
        <f>ROUND((1+SDI_COW)*(SUMIF(#REF!,RECAP!L$7,#REF!)),0)</f>
        <v>#REF!</v>
      </c>
      <c r="M48" s="110" t="e">
        <f>ROUND((1+SDI_COW)*(SUMIF(#REF!,RECAP!M$7,#REF!)),0)</f>
        <v>#REF!</v>
      </c>
      <c r="N48" s="110" t="e">
        <f>ROUND((1+SDI_COW)*(SUMIF(#REF!,RECAP!N$7,#REF!)),0)</f>
        <v>#REF!</v>
      </c>
      <c r="O48" s="110" t="e">
        <f>ROUND((1+SDI_COW)*(SUMIF(#REF!,RECAP!O$7,#REF!)),0)</f>
        <v>#REF!</v>
      </c>
      <c r="P48" s="110" t="e">
        <f>ROUND((1+SDI_COW)*(SUMIF(#REF!,RECAP!P$7,#REF!)),0)</f>
        <v>#REF!</v>
      </c>
      <c r="Q48" s="110" t="e">
        <f>ROUND((1+SDI_COW)*(SUMIF(#REF!,RECAP!Q$7,#REF!)),0)</f>
        <v>#REF!</v>
      </c>
      <c r="R48" s="110" t="e">
        <f>ROUND((1+SDI_COW)*(SUMIF(#REF!,RECAP!R$7,#REF!)),0)</f>
        <v>#REF!</v>
      </c>
      <c r="S48" s="110" t="e">
        <f>ROUND((1+SDI_COW)*(SUMIF(#REF!,RECAP!S$7,#REF!)),0)</f>
        <v>#REF!</v>
      </c>
      <c r="T48" s="110" t="e">
        <f>ROUND((1+SDI_COW)*(SUMIF(#REF!,RECAP!T$7,#REF!)),0)</f>
        <v>#REF!</v>
      </c>
      <c r="U48" s="110" t="e">
        <f>ROUND((1+SDI_COW)*(SUMIF(#REF!,RECAP!U$7,#REF!)),0)</f>
        <v>#REF!</v>
      </c>
      <c r="V48" s="110" t="e">
        <f>ROUND((1+SDI_COW)*(SUMIF(#REF!,RECAP!V$7,#REF!)),0)</f>
        <v>#REF!</v>
      </c>
      <c r="W48" s="110" t="e">
        <f>ROUND((1+SDI_COW)*(SUMIF(#REF!,RECAP!W$7,#REF!)),0)</f>
        <v>#REF!</v>
      </c>
      <c r="X48" s="110" t="e">
        <f>ROUND((1+SDI_COW)*(SUMIF(#REF!,RECAP!X$7,#REF!)),0)</f>
        <v>#REF!</v>
      </c>
      <c r="Y48" s="110" t="e">
        <f>ROUND((1+SDI_COW)*(SUMIF(#REF!,RECAP!Y$7,#REF!)),0)</f>
        <v>#REF!</v>
      </c>
      <c r="Z48" s="110" t="e">
        <f>ROUND((1+SDI_COW)*(SUMIF(#REF!,RECAP!Z$7,#REF!)),0)</f>
        <v>#REF!</v>
      </c>
      <c r="AA48" s="114" t="e">
        <f>ROUND((1+SDI_COW)*(SUMIF(#REF!,RECAP!AA$7,#REF!)),0)</f>
        <v>#REF!</v>
      </c>
      <c r="AB48" s="316">
        <f>H48+I48</f>
        <v>422000</v>
      </c>
      <c r="AC48" s="84"/>
      <c r="AD48" s="356" t="e">
        <f>ROUND((1+SDI_COW)*#REF!,0)</f>
        <v>#REF!</v>
      </c>
      <c r="AE48" s="357" t="e">
        <f>#REF!</f>
        <v>#REF!</v>
      </c>
      <c r="AF48" s="97" t="e">
        <f>ROUND((1+SDI_COW)*#REF!,0)</f>
        <v>#REF!</v>
      </c>
      <c r="AG48" s="97" t="e">
        <f>#REF!</f>
        <v>#REF!</v>
      </c>
      <c r="AH48" s="84"/>
      <c r="AI48" s="98"/>
      <c r="AJ48" s="84"/>
    </row>
    <row r="49" spans="3:36" ht="18.75" customHeight="1">
      <c r="C49" s="91"/>
      <c r="E49" s="300" t="s">
        <v>746</v>
      </c>
      <c r="F49" s="301" t="s">
        <v>747</v>
      </c>
      <c r="G49" s="113"/>
      <c r="H49" s="296">
        <v>0</v>
      </c>
      <c r="I49" s="296">
        <v>75000</v>
      </c>
      <c r="J49" s="110" t="e">
        <f>ROUND((1+SDI_COW)*(SUMIF(#REF!,RECAP!J$7,#REF!)),0)</f>
        <v>#REF!</v>
      </c>
      <c r="K49" s="110" t="e">
        <f>ROUND((1+SDI_COW)*(SUMIF(#REF!,RECAP!K$7,#REF!)),0)</f>
        <v>#REF!</v>
      </c>
      <c r="L49" s="110" t="e">
        <f>ROUND((1+SDI_COW)*(SUMIF(#REF!,RECAP!L$7,#REF!)),0)</f>
        <v>#REF!</v>
      </c>
      <c r="M49" s="110" t="e">
        <f>ROUND((1+SDI_COW)*(SUMIF(#REF!,RECAP!M$7,#REF!)),0)</f>
        <v>#REF!</v>
      </c>
      <c r="N49" s="110" t="e">
        <f>ROUND((1+SDI_COW)*(SUMIF(#REF!,RECAP!N$7,#REF!)),0)</f>
        <v>#REF!</v>
      </c>
      <c r="O49" s="110" t="e">
        <f>ROUND((1+SDI_COW)*(SUMIF(#REF!,RECAP!O$7,#REF!)),0)</f>
        <v>#REF!</v>
      </c>
      <c r="P49" s="110" t="e">
        <f>ROUND((1+SDI_COW)*(SUMIF(#REF!,RECAP!P$7,#REF!)),0)</f>
        <v>#REF!</v>
      </c>
      <c r="Q49" s="110" t="e">
        <f>ROUND((1+SDI_COW)*(SUMIF(#REF!,RECAP!Q$7,#REF!)),0)</f>
        <v>#REF!</v>
      </c>
      <c r="R49" s="110" t="e">
        <f>ROUND((1+SDI_COW)*(SUMIF(#REF!,RECAP!R$7,#REF!)),0)</f>
        <v>#REF!</v>
      </c>
      <c r="S49" s="110" t="e">
        <f>ROUND((1+SDI_COW)*(SUMIF(#REF!,RECAP!S$7,#REF!)),0)</f>
        <v>#REF!</v>
      </c>
      <c r="T49" s="110" t="e">
        <f>ROUND((1+SDI_COW)*(SUMIF(#REF!,RECAP!T$7,#REF!)),0)</f>
        <v>#REF!</v>
      </c>
      <c r="U49" s="110" t="e">
        <f>ROUND((1+SDI_COW)*(SUMIF(#REF!,RECAP!U$7,#REF!)),0)</f>
        <v>#REF!</v>
      </c>
      <c r="V49" s="110" t="e">
        <f>ROUND((1+SDI_COW)*(SUMIF(#REF!,RECAP!V$7,#REF!)),0)</f>
        <v>#REF!</v>
      </c>
      <c r="W49" s="110" t="e">
        <f>ROUND((1+SDI_COW)*(SUMIF(#REF!,RECAP!W$7,#REF!)),0)</f>
        <v>#REF!</v>
      </c>
      <c r="X49" s="110" t="e">
        <f>ROUND((1+SDI_COW)*(SUMIF(#REF!,RECAP!X$7,#REF!)),0)</f>
        <v>#REF!</v>
      </c>
      <c r="Y49" s="110" t="e">
        <f>ROUND((1+SDI_COW)*(SUMIF(#REF!,RECAP!Y$7,#REF!)),0)</f>
        <v>#REF!</v>
      </c>
      <c r="Z49" s="110" t="e">
        <f>ROUND((1+SDI_COW)*(SUMIF(#REF!,RECAP!Z$7,#REF!)),0)</f>
        <v>#REF!</v>
      </c>
      <c r="AA49" s="114" t="e">
        <f>ROUND((1+SDI_COW)*(SUMIF(#REF!,RECAP!AA$7,#REF!)),0)</f>
        <v>#REF!</v>
      </c>
      <c r="AB49" s="316">
        <f t="shared" ref="AB49:AB50" si="5">H49+I49</f>
        <v>75000</v>
      </c>
      <c r="AC49" s="84"/>
      <c r="AD49" s="356" t="e">
        <f>ROUND((1+SDI_COW)*#REF!,0)</f>
        <v>#REF!</v>
      </c>
      <c r="AE49" s="357" t="e">
        <f>#REF!</f>
        <v>#REF!</v>
      </c>
      <c r="AF49" s="97" t="e">
        <f>ROUND((1+SDI_COW)*#REF!,0)</f>
        <v>#REF!</v>
      </c>
      <c r="AG49" s="97" t="e">
        <f>#REF!</f>
        <v>#REF!</v>
      </c>
      <c r="AH49" s="84"/>
      <c r="AI49" s="99"/>
      <c r="AJ49" s="84"/>
    </row>
    <row r="50" spans="3:36" ht="20.25" customHeight="1">
      <c r="C50" s="91"/>
      <c r="E50" s="300" t="s">
        <v>703</v>
      </c>
      <c r="F50" s="301" t="s">
        <v>733</v>
      </c>
      <c r="G50" s="113"/>
      <c r="H50" s="296">
        <v>0</v>
      </c>
      <c r="I50" s="296">
        <v>100000</v>
      </c>
      <c r="J50" s="110" t="e">
        <f>ROUND((1+SDI_COW)*(SUMIF(#REF!,RECAP!J$7,#REF!)),0)</f>
        <v>#REF!</v>
      </c>
      <c r="K50" s="110" t="e">
        <f>ROUND((1+SDI_COW)*(SUMIF(#REF!,RECAP!K$7,#REF!)),0)</f>
        <v>#REF!</v>
      </c>
      <c r="L50" s="110" t="e">
        <f>ROUND((1+SDI_COW)*(SUMIF(#REF!,RECAP!L$7,#REF!)),0)</f>
        <v>#REF!</v>
      </c>
      <c r="M50" s="110" t="e">
        <f>ROUND((1+SDI_COW)*(SUMIF(#REF!,RECAP!M$7,#REF!)),0)</f>
        <v>#REF!</v>
      </c>
      <c r="N50" s="110" t="e">
        <f>ROUND((1+SDI_COW)*(SUMIF(#REF!,RECAP!N$7,#REF!)),0)</f>
        <v>#REF!</v>
      </c>
      <c r="O50" s="110" t="e">
        <f>ROUND((1+SDI_COW)*(SUMIF(#REF!,RECAP!O$7,#REF!)),0)</f>
        <v>#REF!</v>
      </c>
      <c r="P50" s="110" t="e">
        <f>ROUND((1+SDI_COW)*(SUMIF(#REF!,RECAP!P$7,#REF!)),0)</f>
        <v>#REF!</v>
      </c>
      <c r="Q50" s="110" t="e">
        <f>ROUND((1+SDI_COW)*(SUMIF(#REF!,RECAP!Q$7,#REF!)),0)</f>
        <v>#REF!</v>
      </c>
      <c r="R50" s="110" t="e">
        <f>ROUND((1+SDI_COW)*(SUMIF(#REF!,RECAP!R$7,#REF!)),0)</f>
        <v>#REF!</v>
      </c>
      <c r="S50" s="110" t="e">
        <f>ROUND((1+SDI_COW)*(SUMIF(#REF!,RECAP!S$7,#REF!)),0)</f>
        <v>#REF!</v>
      </c>
      <c r="T50" s="110" t="e">
        <f>ROUND((1+SDI_COW)*(SUMIF(#REF!,RECAP!T$7,#REF!)),0)</f>
        <v>#REF!</v>
      </c>
      <c r="U50" s="110" t="e">
        <f>ROUND((1+SDI_COW)*(SUMIF(#REF!,RECAP!U$7,#REF!)),0)</f>
        <v>#REF!</v>
      </c>
      <c r="V50" s="110" t="e">
        <f>ROUND((1+SDI_COW)*(SUMIF(#REF!,RECAP!V$7,#REF!)),0)</f>
        <v>#REF!</v>
      </c>
      <c r="W50" s="110" t="e">
        <f>ROUND((1+SDI_COW)*(SUMIF(#REF!,RECAP!W$7,#REF!)),0)</f>
        <v>#REF!</v>
      </c>
      <c r="X50" s="110" t="e">
        <f>ROUND((1+SDI_COW)*(SUMIF(#REF!,RECAP!X$7,#REF!)),0)</f>
        <v>#REF!</v>
      </c>
      <c r="Y50" s="110" t="e">
        <f>ROUND((1+SDI_COW)*(SUMIF(#REF!,RECAP!Y$7,#REF!)),0)</f>
        <v>#REF!</v>
      </c>
      <c r="Z50" s="110" t="e">
        <f>ROUND((1+SDI_COW)*(SUMIF(#REF!,RECAP!Z$7,#REF!)),0)</f>
        <v>#REF!</v>
      </c>
      <c r="AA50" s="114" t="e">
        <f>ROUND((1+SDI_COW)*(SUMIF(#REF!,RECAP!AA$7,#REF!)),0)</f>
        <v>#REF!</v>
      </c>
      <c r="AB50" s="316">
        <f t="shared" si="5"/>
        <v>100000</v>
      </c>
      <c r="AC50" s="84"/>
      <c r="AD50" s="356" t="e">
        <f>ROUND((1+SDI_COW)*#REF!,0)</f>
        <v>#REF!</v>
      </c>
      <c r="AE50" s="357" t="e">
        <f>#REF!</f>
        <v>#REF!</v>
      </c>
      <c r="AF50" s="97" t="e">
        <f>ROUND((1+SDI_COW)*#REF!,0)</f>
        <v>#REF!</v>
      </c>
      <c r="AG50" s="97" t="e">
        <f>#REF!</f>
        <v>#REF!</v>
      </c>
      <c r="AH50" s="84"/>
      <c r="AI50" s="98"/>
      <c r="AJ50" s="84"/>
    </row>
    <row r="51" spans="3:36" s="90" customFormat="1" ht="20.25" customHeight="1">
      <c r="C51" s="91"/>
      <c r="E51" s="297" t="s">
        <v>96</v>
      </c>
      <c r="F51" s="298" t="s">
        <v>97</v>
      </c>
      <c r="G51" s="298"/>
      <c r="H51" s="299"/>
      <c r="I51" s="299"/>
      <c r="J51" s="115"/>
      <c r="K51" s="115"/>
      <c r="L51" s="116"/>
      <c r="M51" s="116"/>
      <c r="N51" s="116"/>
      <c r="O51" s="116"/>
      <c r="P51" s="117"/>
      <c r="Q51" s="118"/>
      <c r="R51" s="118"/>
      <c r="S51" s="118"/>
      <c r="T51" s="118"/>
      <c r="U51" s="118"/>
      <c r="V51" s="118"/>
      <c r="W51" s="117"/>
      <c r="X51" s="118"/>
      <c r="Y51" s="118"/>
      <c r="Z51" s="118"/>
      <c r="AA51" s="119"/>
      <c r="AB51" s="318"/>
      <c r="AC51" s="303"/>
      <c r="AD51" s="356"/>
      <c r="AE51" s="357"/>
      <c r="AF51" s="320"/>
      <c r="AG51" s="320"/>
      <c r="AH51" s="303"/>
      <c r="AI51" s="319"/>
      <c r="AJ51" s="303"/>
    </row>
    <row r="52" spans="3:36" ht="20.25" customHeight="1">
      <c r="C52" s="91"/>
      <c r="E52" s="300"/>
      <c r="F52" s="301" t="s">
        <v>98</v>
      </c>
      <c r="G52" s="301"/>
      <c r="H52" s="296">
        <v>0</v>
      </c>
      <c r="I52" s="296">
        <v>27000</v>
      </c>
      <c r="J52" s="110" t="e">
        <f>ROUND((1+SDI_COW)*(SUMIF(#REF!,RECAP!J$7,#REF!)),0)</f>
        <v>#REF!</v>
      </c>
      <c r="K52" s="110" t="e">
        <f>ROUND((1+SDI_COW)*(SUMIF(#REF!,RECAP!K$7,#REF!)),0)</f>
        <v>#REF!</v>
      </c>
      <c r="L52" s="110" t="e">
        <f>ROUND((1+SDI_COW)*(SUMIF(#REF!,RECAP!L$7,#REF!)),0)</f>
        <v>#REF!</v>
      </c>
      <c r="M52" s="110" t="e">
        <f>ROUND((1+SDI_COW)*(SUMIF(#REF!,RECAP!M$7,#REF!)),0)</f>
        <v>#REF!</v>
      </c>
      <c r="N52" s="110" t="e">
        <f>ROUND((1+SDI_COW)*(SUMIF(#REF!,RECAP!N$7,#REF!)),0)</f>
        <v>#REF!</v>
      </c>
      <c r="O52" s="110" t="e">
        <f>ROUND((1+SDI_COW)*(SUMIF(#REF!,RECAP!O$7,#REF!)),0)</f>
        <v>#REF!</v>
      </c>
      <c r="P52" s="110" t="e">
        <f>ROUND((1+SDI_COW)*(SUMIF(#REF!,RECAP!P$7,#REF!)),0)</f>
        <v>#REF!</v>
      </c>
      <c r="Q52" s="110" t="e">
        <f>ROUND((1+SDI_COW)*(SUMIF(#REF!,RECAP!Q$7,#REF!)),0)</f>
        <v>#REF!</v>
      </c>
      <c r="R52" s="110" t="e">
        <f>ROUND((1+SDI_COW)*(SUMIF(#REF!,RECAP!R$7,#REF!)),0)</f>
        <v>#REF!</v>
      </c>
      <c r="S52" s="110" t="e">
        <f>ROUND((1+SDI_COW)*(SUMIF(#REF!,RECAP!S$7,#REF!)),0)</f>
        <v>#REF!</v>
      </c>
      <c r="T52" s="110" t="e">
        <f>ROUND((1+SDI_COW)*(SUMIF(#REF!,RECAP!T$7,#REF!)),0)</f>
        <v>#REF!</v>
      </c>
      <c r="U52" s="110" t="e">
        <f>ROUND((1+SDI_COW)*(SUMIF(#REF!,RECAP!U$7,#REF!)),0)</f>
        <v>#REF!</v>
      </c>
      <c r="V52" s="110" t="e">
        <f>ROUND((1+SDI_COW)*(SUMIF(#REF!,RECAP!V$7,#REF!)),0)</f>
        <v>#REF!</v>
      </c>
      <c r="W52" s="110" t="e">
        <f>ROUND((1+SDI_COW)*(SUMIF(#REF!,RECAP!W$7,#REF!)),0)</f>
        <v>#REF!</v>
      </c>
      <c r="X52" s="110" t="e">
        <f>ROUND((1+SDI_COW)*(SUMIF(#REF!,RECAP!X$7,#REF!)),0)</f>
        <v>#REF!</v>
      </c>
      <c r="Y52" s="110" t="e">
        <f>ROUND((1+SDI_COW)*(SUMIF(#REF!,RECAP!Y$7,#REF!)),0)</f>
        <v>#REF!</v>
      </c>
      <c r="Z52" s="110" t="e">
        <f>ROUND((1+SDI_COW)*(SUMIF(#REF!,RECAP!Z$7,#REF!)),0)</f>
        <v>#REF!</v>
      </c>
      <c r="AA52" s="114" t="e">
        <f>ROUND((1+SDI_COW)*(SUMIF(#REF!,RECAP!AA$7,#REF!)),0)</f>
        <v>#REF!</v>
      </c>
      <c r="AB52" s="316">
        <f>H52+I52</f>
        <v>27000</v>
      </c>
      <c r="AD52" s="356" t="e">
        <f>ROUND((1+SDI_COW)*#REF!,0)</f>
        <v>#REF!</v>
      </c>
      <c r="AE52" s="357" t="e">
        <f>#REF!</f>
        <v>#REF!</v>
      </c>
      <c r="AF52" s="316" t="e">
        <f>ROUND((1+SDI_COW)*#REF!,0)</f>
        <v>#REF!</v>
      </c>
      <c r="AG52" s="316" t="e">
        <f>#REF!</f>
        <v>#REF!</v>
      </c>
      <c r="AI52" s="317"/>
    </row>
    <row r="53" spans="3:36" s="90" customFormat="1" ht="20.25" customHeight="1">
      <c r="C53" s="91"/>
      <c r="E53" s="297" t="s">
        <v>99</v>
      </c>
      <c r="F53" s="298" t="s">
        <v>100</v>
      </c>
      <c r="G53" s="298"/>
      <c r="H53" s="299"/>
      <c r="I53" s="299"/>
      <c r="J53" s="115"/>
      <c r="K53" s="115"/>
      <c r="L53" s="116"/>
      <c r="M53" s="116"/>
      <c r="N53" s="116"/>
      <c r="O53" s="116"/>
      <c r="P53" s="117"/>
      <c r="Q53" s="118"/>
      <c r="R53" s="118"/>
      <c r="S53" s="118"/>
      <c r="T53" s="118"/>
      <c r="U53" s="118"/>
      <c r="V53" s="118"/>
      <c r="W53" s="117"/>
      <c r="X53" s="118"/>
      <c r="Y53" s="118"/>
      <c r="Z53" s="118"/>
      <c r="AA53" s="119"/>
      <c r="AB53" s="318"/>
      <c r="AC53" s="303"/>
      <c r="AD53" s="356"/>
      <c r="AE53" s="357"/>
      <c r="AF53" s="320"/>
      <c r="AG53" s="320"/>
      <c r="AH53" s="303"/>
      <c r="AI53" s="319"/>
      <c r="AJ53" s="303"/>
    </row>
    <row r="54" spans="3:36" s="90" customFormat="1" ht="20.25" customHeight="1">
      <c r="C54" s="91"/>
      <c r="E54" s="297" t="s">
        <v>101</v>
      </c>
      <c r="F54" s="298" t="s">
        <v>102</v>
      </c>
      <c r="G54" s="298"/>
      <c r="H54" s="299"/>
      <c r="I54" s="299"/>
      <c r="J54" s="115"/>
      <c r="K54" s="115"/>
      <c r="L54" s="116"/>
      <c r="M54" s="116"/>
      <c r="N54" s="116"/>
      <c r="O54" s="116"/>
      <c r="P54" s="117"/>
      <c r="Q54" s="118"/>
      <c r="R54" s="118"/>
      <c r="S54" s="118"/>
      <c r="T54" s="118"/>
      <c r="U54" s="118"/>
      <c r="V54" s="118"/>
      <c r="W54" s="117"/>
      <c r="X54" s="118"/>
      <c r="Y54" s="118"/>
      <c r="Z54" s="118"/>
      <c r="AA54" s="119"/>
      <c r="AB54" s="318"/>
      <c r="AC54" s="303"/>
      <c r="AD54" s="356"/>
      <c r="AE54" s="357"/>
      <c r="AF54" s="316"/>
      <c r="AG54" s="316"/>
      <c r="AH54" s="303"/>
      <c r="AI54" s="319"/>
      <c r="AJ54" s="303"/>
    </row>
    <row r="55" spans="3:36" s="90" customFormat="1" ht="20.25" customHeight="1">
      <c r="C55" s="91"/>
      <c r="E55" s="297" t="s">
        <v>103</v>
      </c>
      <c r="F55" s="298" t="s">
        <v>104</v>
      </c>
      <c r="G55" s="298"/>
      <c r="H55" s="299"/>
      <c r="I55" s="299"/>
      <c r="J55" s="115"/>
      <c r="K55" s="115"/>
      <c r="L55" s="116"/>
      <c r="M55" s="116"/>
      <c r="N55" s="116"/>
      <c r="O55" s="116"/>
      <c r="P55" s="117"/>
      <c r="Q55" s="118"/>
      <c r="R55" s="118"/>
      <c r="S55" s="118"/>
      <c r="T55" s="118"/>
      <c r="U55" s="118"/>
      <c r="V55" s="118"/>
      <c r="W55" s="117"/>
      <c r="X55" s="118"/>
      <c r="Y55" s="118"/>
      <c r="Z55" s="118"/>
      <c r="AA55" s="119"/>
      <c r="AB55" s="318"/>
      <c r="AC55" s="303"/>
      <c r="AD55" s="358"/>
      <c r="AE55" s="359"/>
      <c r="AF55" s="320"/>
      <c r="AG55" s="320"/>
      <c r="AH55" s="303"/>
      <c r="AI55" s="319"/>
      <c r="AJ55" s="303"/>
    </row>
    <row r="56" spans="3:36" ht="20.25" customHeight="1">
      <c r="C56" s="91"/>
      <c r="E56" s="300"/>
      <c r="F56" s="301" t="s">
        <v>105</v>
      </c>
      <c r="G56" s="301"/>
      <c r="H56" s="296">
        <v>0</v>
      </c>
      <c r="I56" s="296">
        <v>181423</v>
      </c>
      <c r="J56" s="110" t="e">
        <f>ROUND((1+SDI_COW)*(SUMIF(#REF!,RECAP!J$7,#REF!)),0)</f>
        <v>#REF!</v>
      </c>
      <c r="K56" s="110" t="e">
        <f>ROUND((1+SDI_COW)*(SUMIF(#REF!,RECAP!K$7,#REF!)),0)</f>
        <v>#REF!</v>
      </c>
      <c r="L56" s="110" t="e">
        <f>ROUND((1+SDI_COW)*(SUMIF(#REF!,RECAP!L$7,#REF!)),0)</f>
        <v>#REF!</v>
      </c>
      <c r="M56" s="110" t="e">
        <f>ROUND((1+SDI_COW)*(SUMIF(#REF!,RECAP!M$7,#REF!)),0)</f>
        <v>#REF!</v>
      </c>
      <c r="N56" s="110" t="e">
        <f>ROUND((1+SDI_COW)*(SUMIF(#REF!,RECAP!N$7,#REF!)),0)</f>
        <v>#REF!</v>
      </c>
      <c r="O56" s="110" t="e">
        <f>ROUND((1+SDI_COW)*(SUMIF(#REF!,RECAP!O$7,#REF!)),0)</f>
        <v>#REF!</v>
      </c>
      <c r="P56" s="110" t="e">
        <f>ROUND((1+SDI_COW)*(SUMIF(#REF!,RECAP!P$7,#REF!)),0)</f>
        <v>#REF!</v>
      </c>
      <c r="Q56" s="110" t="e">
        <f>ROUND((1+SDI_COW)*(SUMIF(#REF!,RECAP!Q$7,#REF!)),0)</f>
        <v>#REF!</v>
      </c>
      <c r="R56" s="110" t="e">
        <f>ROUND((1+SDI_COW)*(SUMIF(#REF!,RECAP!R$7,#REF!)),0)</f>
        <v>#REF!</v>
      </c>
      <c r="S56" s="110" t="e">
        <f>ROUND((1+SDI_COW)*(SUMIF(#REF!,RECAP!S$7,#REF!)),0)</f>
        <v>#REF!</v>
      </c>
      <c r="T56" s="110" t="e">
        <f>ROUND((1+SDI_COW)*(SUMIF(#REF!,RECAP!T$7,#REF!)),0)</f>
        <v>#REF!</v>
      </c>
      <c r="U56" s="110" t="e">
        <f>ROUND((1+SDI_COW)*(SUMIF(#REF!,RECAP!U$7,#REF!)),0)</f>
        <v>#REF!</v>
      </c>
      <c r="V56" s="110" t="e">
        <f>ROUND((1+SDI_COW)*(SUMIF(#REF!,RECAP!V$7,#REF!)),0)</f>
        <v>#REF!</v>
      </c>
      <c r="W56" s="110" t="e">
        <f>ROUND((1+SDI_COW)*(SUMIF(#REF!,RECAP!W$7,#REF!)),0)</f>
        <v>#REF!</v>
      </c>
      <c r="X56" s="110" t="e">
        <f>ROUND((1+SDI_COW)*(SUMIF(#REF!,RECAP!X$7,#REF!)),0)</f>
        <v>#REF!</v>
      </c>
      <c r="Y56" s="110" t="e">
        <f>ROUND((1+SDI_COW)*(SUMIF(#REF!,RECAP!Y$7,#REF!)),0)</f>
        <v>#REF!</v>
      </c>
      <c r="Z56" s="110" t="e">
        <f>ROUND((1+SDI_COW)*(SUMIF(#REF!,RECAP!Z$7,#REF!)),0)</f>
        <v>#REF!</v>
      </c>
      <c r="AA56" s="114" t="e">
        <f>ROUND((1+SDI_COW)*(SUMIF(#REF!,RECAP!AA$7,#REF!)),0)</f>
        <v>#REF!</v>
      </c>
      <c r="AB56" s="316">
        <f>H56+I56</f>
        <v>181423</v>
      </c>
      <c r="AD56" s="356" t="e">
        <f>ROUND((1+SDI_COW)*#REF!,0)</f>
        <v>#REF!</v>
      </c>
      <c r="AE56" s="357" t="e">
        <f>#REF!</f>
        <v>#REF!</v>
      </c>
      <c r="AF56" s="316" t="e">
        <f>ROUND((1+SDI_COW)*#REF!,0)</f>
        <v>#REF!</v>
      </c>
      <c r="AG56" s="316" t="e">
        <f>#REF!</f>
        <v>#REF!</v>
      </c>
      <c r="AI56" s="317"/>
    </row>
    <row r="57" spans="3:36" ht="20.25" customHeight="1">
      <c r="C57" s="91"/>
      <c r="E57" s="300"/>
      <c r="F57" s="301" t="s">
        <v>106</v>
      </c>
      <c r="G57" s="301"/>
      <c r="H57" s="296">
        <v>0</v>
      </c>
      <c r="I57" s="296">
        <v>749800</v>
      </c>
      <c r="J57" s="110" t="e">
        <f>ROUND((1+SDI_COW)*(SUMIF(#REF!,RECAP!J$7,#REF!)),0)</f>
        <v>#REF!</v>
      </c>
      <c r="K57" s="110" t="e">
        <f>ROUND((1+SDI_COW)*(SUMIF(#REF!,RECAP!K$7,#REF!)),0)</f>
        <v>#REF!</v>
      </c>
      <c r="L57" s="110" t="e">
        <f>ROUND((1+SDI_COW)*(SUMIF(#REF!,RECAP!L$7,#REF!)),0)</f>
        <v>#REF!</v>
      </c>
      <c r="M57" s="110" t="e">
        <f>ROUND((1+SDI_COW)*(SUMIF(#REF!,RECAP!M$7,#REF!)),0)</f>
        <v>#REF!</v>
      </c>
      <c r="N57" s="110" t="e">
        <f>ROUND((1+SDI_COW)*(SUMIF(#REF!,RECAP!N$7,#REF!)),0)</f>
        <v>#REF!</v>
      </c>
      <c r="O57" s="110" t="e">
        <f>ROUND((1+SDI_COW)*(SUMIF(#REF!,RECAP!O$7,#REF!)),0)</f>
        <v>#REF!</v>
      </c>
      <c r="P57" s="110" t="e">
        <f>ROUND((1+SDI_COW)*(SUMIF(#REF!,RECAP!P$7,#REF!)),0)</f>
        <v>#REF!</v>
      </c>
      <c r="Q57" s="110" t="e">
        <f>ROUND((1+SDI_COW)*(SUMIF(#REF!,RECAP!Q$7,#REF!)),0)</f>
        <v>#REF!</v>
      </c>
      <c r="R57" s="110" t="e">
        <f>ROUND((1+SDI_COW)*(SUMIF(#REF!,RECAP!R$7,#REF!)),0)</f>
        <v>#REF!</v>
      </c>
      <c r="S57" s="110" t="e">
        <f>ROUND((1+SDI_COW)*(SUMIF(#REF!,RECAP!S$7,#REF!)),0)</f>
        <v>#REF!</v>
      </c>
      <c r="T57" s="110" t="e">
        <f>ROUND((1+SDI_COW)*(SUMIF(#REF!,RECAP!T$7,#REF!)),0)</f>
        <v>#REF!</v>
      </c>
      <c r="U57" s="110" t="e">
        <f>ROUND((1+SDI_COW)*(SUMIF(#REF!,RECAP!U$7,#REF!)),0)</f>
        <v>#REF!</v>
      </c>
      <c r="V57" s="110" t="e">
        <f>ROUND((1+SDI_COW)*(SUMIF(#REF!,RECAP!V$7,#REF!)),0)</f>
        <v>#REF!</v>
      </c>
      <c r="W57" s="110" t="e">
        <f>ROUND((1+SDI_COW)*(SUMIF(#REF!,RECAP!W$7,#REF!)),0)</f>
        <v>#REF!</v>
      </c>
      <c r="X57" s="110" t="e">
        <f>ROUND((1+SDI_COW)*(SUMIF(#REF!,RECAP!X$7,#REF!)),0)</f>
        <v>#REF!</v>
      </c>
      <c r="Y57" s="110" t="e">
        <f>ROUND((1+SDI_COW)*(SUMIF(#REF!,RECAP!Y$7,#REF!)),0)</f>
        <v>#REF!</v>
      </c>
      <c r="Z57" s="110" t="e">
        <f>ROUND((1+SDI_COW)*(SUMIF(#REF!,RECAP!Z$7,#REF!)),0)</f>
        <v>#REF!</v>
      </c>
      <c r="AA57" s="114" t="e">
        <f>ROUND((1+SDI_COW)*(SUMIF(#REF!,RECAP!AA$7,#REF!)),0)</f>
        <v>#REF!</v>
      </c>
      <c r="AB57" s="316">
        <f t="shared" ref="AB57:AB58" si="6">H57+I57</f>
        <v>749800</v>
      </c>
      <c r="AD57" s="356" t="e">
        <f>ROUND((1+SDI_COW)*#REF!,0)</f>
        <v>#REF!</v>
      </c>
      <c r="AE57" s="357" t="e">
        <f>#REF!</f>
        <v>#REF!</v>
      </c>
      <c r="AF57" s="316" t="e">
        <f>ROUND((1+SDI_COW)*#REF!,0)</f>
        <v>#REF!</v>
      </c>
      <c r="AG57" s="316" t="e">
        <f>#REF!</f>
        <v>#REF!</v>
      </c>
      <c r="AI57" s="319"/>
    </row>
    <row r="58" spans="3:36" ht="20.25" customHeight="1">
      <c r="C58" s="91"/>
      <c r="E58" s="300"/>
      <c r="F58" s="301" t="s">
        <v>107</v>
      </c>
      <c r="G58" s="301"/>
      <c r="H58" s="296">
        <v>0</v>
      </c>
      <c r="I58" s="296">
        <v>2203413</v>
      </c>
      <c r="J58" s="110" t="e">
        <f>ROUND((1+SDI_COW)*(SUMIF(#REF!,RECAP!J$7,#REF!)),0)</f>
        <v>#REF!</v>
      </c>
      <c r="K58" s="110" t="e">
        <f>ROUND((1+SDI_COW)*(SUMIF(#REF!,RECAP!K$7,#REF!)),0)</f>
        <v>#REF!</v>
      </c>
      <c r="L58" s="110" t="e">
        <f>ROUND((1+SDI_COW)*(SUMIF(#REF!,RECAP!L$7,#REF!)),0)</f>
        <v>#REF!</v>
      </c>
      <c r="M58" s="110" t="e">
        <f>ROUND((1+SDI_COW)*(SUMIF(#REF!,RECAP!M$7,#REF!)),0)</f>
        <v>#REF!</v>
      </c>
      <c r="N58" s="110" t="e">
        <f>ROUND((1+SDI_COW)*(SUMIF(#REF!,RECAP!N$7,#REF!)),0)</f>
        <v>#REF!</v>
      </c>
      <c r="O58" s="110" t="e">
        <f>ROUND((1+SDI_COW)*(SUMIF(#REF!,RECAP!O$7,#REF!)),0)</f>
        <v>#REF!</v>
      </c>
      <c r="P58" s="110" t="e">
        <f>ROUND((1+SDI_COW)*(SUMIF(#REF!,RECAP!P$7,#REF!)),0)</f>
        <v>#REF!</v>
      </c>
      <c r="Q58" s="110" t="e">
        <f>ROUND((1+SDI_COW)*(SUMIF(#REF!,RECAP!Q$7,#REF!)),0)</f>
        <v>#REF!</v>
      </c>
      <c r="R58" s="110" t="e">
        <f>ROUND((1+SDI_COW)*(SUMIF(#REF!,RECAP!R$7,#REF!)),0)</f>
        <v>#REF!</v>
      </c>
      <c r="S58" s="110" t="e">
        <f>ROUND((1+SDI_COW)*(SUMIF(#REF!,RECAP!S$7,#REF!)),0)</f>
        <v>#REF!</v>
      </c>
      <c r="T58" s="110" t="e">
        <f>ROUND((1+SDI_COW)*(SUMIF(#REF!,RECAP!T$7,#REF!)),0)</f>
        <v>#REF!</v>
      </c>
      <c r="U58" s="110" t="e">
        <f>ROUND((1+SDI_COW)*(SUMIF(#REF!,RECAP!U$7,#REF!)),0)</f>
        <v>#REF!</v>
      </c>
      <c r="V58" s="110" t="e">
        <f>ROUND((1+SDI_COW)*(SUMIF(#REF!,RECAP!V$7,#REF!)),0)</f>
        <v>#REF!</v>
      </c>
      <c r="W58" s="110" t="e">
        <f>ROUND((1+SDI_COW)*(SUMIF(#REF!,RECAP!W$7,#REF!)),0)</f>
        <v>#REF!</v>
      </c>
      <c r="X58" s="110" t="e">
        <f>ROUND((1+SDI_COW)*(SUMIF(#REF!,RECAP!X$7,#REF!)),0)</f>
        <v>#REF!</v>
      </c>
      <c r="Y58" s="110" t="e">
        <f>ROUND((1+SDI_COW)*(SUMIF(#REF!,RECAP!Y$7,#REF!)),0)</f>
        <v>#REF!</v>
      </c>
      <c r="Z58" s="110" t="e">
        <f>ROUND((1+SDI_COW)*(SUMIF(#REF!,RECAP!Z$7,#REF!)),0)</f>
        <v>#REF!</v>
      </c>
      <c r="AA58" s="114" t="e">
        <f>ROUND((1+SDI_COW)*(SUMIF(#REF!,RECAP!AA$7,#REF!)),0)</f>
        <v>#REF!</v>
      </c>
      <c r="AB58" s="316">
        <f t="shared" si="6"/>
        <v>2203413</v>
      </c>
      <c r="AD58" s="356" t="e">
        <f>ROUND((1+SDI_COW)*#REF!,0)</f>
        <v>#REF!</v>
      </c>
      <c r="AE58" s="357" t="e">
        <f>#REF!</f>
        <v>#REF!</v>
      </c>
      <c r="AF58" s="316" t="e">
        <f>ROUND((1+SDI_COW)*#REF!,0)</f>
        <v>#REF!</v>
      </c>
      <c r="AG58" s="316" t="e">
        <f>#REF!</f>
        <v>#REF!</v>
      </c>
      <c r="AI58" s="317"/>
    </row>
    <row r="59" spans="3:36" s="90" customFormat="1" ht="20.25" customHeight="1">
      <c r="C59" s="91"/>
      <c r="E59" s="297" t="s">
        <v>108</v>
      </c>
      <c r="F59" s="298" t="s">
        <v>109</v>
      </c>
      <c r="G59" s="298"/>
      <c r="H59" s="299"/>
      <c r="I59" s="299"/>
      <c r="J59" s="115"/>
      <c r="K59" s="115"/>
      <c r="L59" s="116"/>
      <c r="M59" s="116"/>
      <c r="N59" s="116"/>
      <c r="O59" s="116"/>
      <c r="P59" s="117"/>
      <c r="Q59" s="118"/>
      <c r="R59" s="118"/>
      <c r="S59" s="118"/>
      <c r="T59" s="118"/>
      <c r="U59" s="118"/>
      <c r="V59" s="118"/>
      <c r="W59" s="117"/>
      <c r="X59" s="118"/>
      <c r="Y59" s="118"/>
      <c r="Z59" s="118"/>
      <c r="AA59" s="119"/>
      <c r="AB59" s="318"/>
      <c r="AC59" s="303"/>
      <c r="AD59" s="356"/>
      <c r="AE59" s="357"/>
      <c r="AF59" s="320"/>
      <c r="AG59" s="320"/>
      <c r="AH59" s="303"/>
      <c r="AI59" s="319"/>
      <c r="AJ59" s="303"/>
    </row>
    <row r="60" spans="3:36" ht="18.75" customHeight="1">
      <c r="C60" s="91"/>
      <c r="E60" s="300"/>
      <c r="F60" s="301" t="s">
        <v>110</v>
      </c>
      <c r="G60" s="301"/>
      <c r="H60" s="296">
        <v>198500</v>
      </c>
      <c r="I60" s="296">
        <v>2521760</v>
      </c>
      <c r="J60" s="296" t="e">
        <f>ROUND((1+SDI_COW)*(SUMIF(#REF!,RECAP!J$7,#REF!)),0)</f>
        <v>#REF!</v>
      </c>
      <c r="K60" s="110" t="e">
        <f>ROUND((1+SDI_COW)*(SUMIF(#REF!,RECAP!K$7,#REF!)),0)</f>
        <v>#REF!</v>
      </c>
      <c r="L60" s="110" t="e">
        <f>ROUND((1+SDI_COW)*(SUMIF(#REF!,RECAP!L$7,#REF!)),0)</f>
        <v>#REF!</v>
      </c>
      <c r="M60" s="110" t="e">
        <f>ROUND((1+SDI_COW)*(SUMIF(#REF!,RECAP!M$7,#REF!)),0)</f>
        <v>#REF!</v>
      </c>
      <c r="N60" s="110" t="e">
        <f>ROUND((1+SDI_COW)*(SUMIF(#REF!,RECAP!N$7,#REF!)),0)</f>
        <v>#REF!</v>
      </c>
      <c r="O60" s="110" t="e">
        <f>ROUND((1+SDI_COW)*(SUMIF(#REF!,RECAP!O$7,#REF!)),0)</f>
        <v>#REF!</v>
      </c>
      <c r="P60" s="110" t="e">
        <f>ROUND((1+SDI_COW)*(SUMIF(#REF!,RECAP!P$7,#REF!)),0)</f>
        <v>#REF!</v>
      </c>
      <c r="Q60" s="110" t="e">
        <f>ROUND((1+SDI_COW)*(SUMIF(#REF!,RECAP!Q$7,#REF!)),0)</f>
        <v>#REF!</v>
      </c>
      <c r="R60" s="110" t="e">
        <f>ROUND((1+SDI_COW)*(SUMIF(#REF!,RECAP!R$7,#REF!)),0)</f>
        <v>#REF!</v>
      </c>
      <c r="S60" s="110" t="e">
        <f>ROUND((1+SDI_COW)*(SUMIF(#REF!,RECAP!S$7,#REF!)),0)</f>
        <v>#REF!</v>
      </c>
      <c r="T60" s="110" t="e">
        <f>ROUND((1+SDI_COW)*(SUMIF(#REF!,RECAP!T$7,#REF!)),0)</f>
        <v>#REF!</v>
      </c>
      <c r="U60" s="110" t="e">
        <f>ROUND((1+SDI_COW)*(SUMIF(#REF!,RECAP!U$7,#REF!)),0)</f>
        <v>#REF!</v>
      </c>
      <c r="V60" s="110" t="e">
        <f>ROUND((1+SDI_COW)*(SUMIF(#REF!,RECAP!V$7,#REF!)),0)</f>
        <v>#REF!</v>
      </c>
      <c r="W60" s="110" t="e">
        <f>ROUND((1+SDI_COW)*(SUMIF(#REF!,RECAP!W$7,#REF!)),0)</f>
        <v>#REF!</v>
      </c>
      <c r="X60" s="110" t="e">
        <f>ROUND((1+SDI_COW)*(SUMIF(#REF!,RECAP!X$7,#REF!)),0)</f>
        <v>#REF!</v>
      </c>
      <c r="Y60" s="110" t="e">
        <f>ROUND((1+SDI_COW)*(SUMIF(#REF!,RECAP!Y$7,#REF!)),0)</f>
        <v>#REF!</v>
      </c>
      <c r="Z60" s="110" t="e">
        <f>ROUND((1+SDI_COW)*(SUMIF(#REF!,RECAP!Z$7,#REF!)),0)</f>
        <v>#REF!</v>
      </c>
      <c r="AA60" s="114" t="e">
        <f>ROUND((1+SDI_COW)*(SUMIF(#REF!,RECAP!AA$7,#REF!)),0)</f>
        <v>#REF!</v>
      </c>
      <c r="AB60" s="316">
        <f>H60+I60</f>
        <v>2720260</v>
      </c>
      <c r="AD60" s="356" t="e">
        <f>ROUND((1+SDI_COW)*#REF!,0)</f>
        <v>#REF!</v>
      </c>
      <c r="AE60" s="357" t="e">
        <f>#REF!</f>
        <v>#REF!</v>
      </c>
      <c r="AF60" s="316" t="e">
        <f>ROUND((1+SDI_COW)*#REF!,0)</f>
        <v>#REF!</v>
      </c>
      <c r="AG60" s="316" t="e">
        <f>#REF!</f>
        <v>#REF!</v>
      </c>
      <c r="AI60" s="317"/>
    </row>
    <row r="61" spans="3:36" ht="16.75" customHeight="1">
      <c r="C61" s="91"/>
      <c r="E61" s="128"/>
      <c r="F61" s="301" t="s">
        <v>694</v>
      </c>
      <c r="G61" s="113"/>
      <c r="H61" s="296">
        <v>0</v>
      </c>
      <c r="I61" s="296">
        <v>571763</v>
      </c>
      <c r="J61" s="110" t="e">
        <f>ROUND((1+0)*(SUMIF(#REF!,RECAP!J$7,#REF!)),0)</f>
        <v>#REF!</v>
      </c>
      <c r="K61" s="110" t="e">
        <f>ROUND((1+SDI_COW)*(SUMIF(#REF!,RECAP!K$7,#REF!)),0)</f>
        <v>#REF!</v>
      </c>
      <c r="L61" s="110" t="e">
        <f>ROUND((1+SDI_COW)*(SUMIF(#REF!,RECAP!L$7,#REF!)),0)</f>
        <v>#REF!</v>
      </c>
      <c r="M61" s="110" t="e">
        <f>ROUND((1+SDI_COW)*(SUMIF(#REF!,RECAP!M$7,#REF!)),0)</f>
        <v>#REF!</v>
      </c>
      <c r="N61" s="110" t="e">
        <f>ROUND((1+SDI_COW)*(SUMIF(#REF!,RECAP!N$7,#REF!)),0)</f>
        <v>#REF!</v>
      </c>
      <c r="O61" s="110" t="e">
        <f>ROUND((1+SDI_COW)*(SUMIF(#REF!,RECAP!O$7,#REF!)),0)</f>
        <v>#REF!</v>
      </c>
      <c r="P61" s="110" t="e">
        <f>ROUND((1+SDI_COW)*(SUMIF(#REF!,RECAP!P$7,#REF!)),0)</f>
        <v>#REF!</v>
      </c>
      <c r="Q61" s="110" t="e">
        <f>ROUND((1+SDI_COW)*(SUMIF(#REF!,RECAP!Q$7,#REF!)),0)</f>
        <v>#REF!</v>
      </c>
      <c r="R61" s="110" t="e">
        <f>ROUND((1+SDI_COW)*(SUMIF(#REF!,RECAP!R$7,#REF!)),0)</f>
        <v>#REF!</v>
      </c>
      <c r="S61" s="110" t="e">
        <f>ROUND((1+SDI_COW)*(SUMIF(#REF!,RECAP!S$7,#REF!)),0)</f>
        <v>#REF!</v>
      </c>
      <c r="T61" s="110" t="e">
        <f>ROUND((1+SDI_COW)*(SUMIF(#REF!,RECAP!T$7,#REF!)),0)</f>
        <v>#REF!</v>
      </c>
      <c r="U61" s="110" t="e">
        <f>ROUND((1+SDI_COW)*(SUMIF(#REF!,RECAP!U$7,#REF!)),0)</f>
        <v>#REF!</v>
      </c>
      <c r="V61" s="110" t="e">
        <f>ROUND((1+SDI_COW)*(SUMIF(#REF!,RECAP!V$7,#REF!)),0)</f>
        <v>#REF!</v>
      </c>
      <c r="W61" s="110" t="e">
        <f>ROUND((1+SDI_COW)*(SUMIF(#REF!,RECAP!W$7,#REF!)),0)</f>
        <v>#REF!</v>
      </c>
      <c r="X61" s="110" t="e">
        <f>ROUND((1+SDI_COW)*(SUMIF(#REF!,RECAP!X$7,#REF!)),0)</f>
        <v>#REF!</v>
      </c>
      <c r="Y61" s="110" t="e">
        <f>ROUND((1+SDI_COW)*(SUMIF(#REF!,RECAP!Y$7,#REF!)),0)</f>
        <v>#REF!</v>
      </c>
      <c r="Z61" s="110" t="e">
        <f>ROUND((1+SDI_COW)*(SUMIF(#REF!,RECAP!Z$7,#REF!)),0)</f>
        <v>#REF!</v>
      </c>
      <c r="AA61" s="114" t="e">
        <f>ROUND((1+SDI_COW)*(SUMIF(#REF!,RECAP!AA$7,#REF!)),0)</f>
        <v>#REF!</v>
      </c>
      <c r="AB61" s="316">
        <f t="shared" ref="AB61:AB62" si="7">H61+I61</f>
        <v>571763</v>
      </c>
      <c r="AC61" s="84"/>
      <c r="AD61" s="356" t="e">
        <f>ROUND((1+0)*#REF!,0)</f>
        <v>#REF!</v>
      </c>
      <c r="AE61" s="357" t="e">
        <f>#REF!</f>
        <v>#REF!</v>
      </c>
      <c r="AF61" s="97" t="e">
        <f>ROUND((1+0)*#REF!,0)</f>
        <v>#REF!</v>
      </c>
      <c r="AG61" s="97" t="e">
        <f>#REF!</f>
        <v>#REF!</v>
      </c>
      <c r="AH61" s="84"/>
      <c r="AI61" s="98"/>
      <c r="AJ61" s="84"/>
    </row>
    <row r="62" spans="3:36" ht="16.75" customHeight="1">
      <c r="C62" s="91"/>
      <c r="E62" s="128"/>
      <c r="F62" s="301" t="s">
        <v>736</v>
      </c>
      <c r="G62" s="113"/>
      <c r="H62" s="296">
        <v>0</v>
      </c>
      <c r="I62" s="296">
        <v>355523</v>
      </c>
      <c r="J62" s="110" t="e">
        <f>ROUND((1+SDI_COW)*(SUMIF(#REF!,RECAP!J$7,#REF!)),0)</f>
        <v>#REF!</v>
      </c>
      <c r="K62" s="110" t="e">
        <f>ROUND((1+SDI_COW)*(SUMIF(#REF!,RECAP!K$7,#REF!)),0)</f>
        <v>#REF!</v>
      </c>
      <c r="L62" s="110" t="e">
        <f>ROUND((1+SDI_COW)*(SUMIF(#REF!,RECAP!L$7,#REF!)),0)</f>
        <v>#REF!</v>
      </c>
      <c r="M62" s="110" t="e">
        <f>ROUND((1+SDI_COW)*(SUMIF(#REF!,RECAP!M$7,#REF!)),0)</f>
        <v>#REF!</v>
      </c>
      <c r="N62" s="110" t="e">
        <f>ROUND((1+SDI_COW)*(SUMIF(#REF!,RECAP!N$7,#REF!)),0)</f>
        <v>#REF!</v>
      </c>
      <c r="O62" s="110" t="e">
        <f>ROUND((1+SDI_COW)*(SUMIF(#REF!,RECAP!O$7,#REF!)),0)</f>
        <v>#REF!</v>
      </c>
      <c r="P62" s="110" t="e">
        <f>ROUND((1+SDI_COW)*(SUMIF(#REF!,RECAP!P$7,#REF!)),0)</f>
        <v>#REF!</v>
      </c>
      <c r="Q62" s="110" t="e">
        <f>ROUND((1+SDI_COW)*(SUMIF(#REF!,RECAP!Q$7,#REF!)),0)</f>
        <v>#REF!</v>
      </c>
      <c r="R62" s="110" t="e">
        <f>ROUND((1+SDI_COW)*(SUMIF(#REF!,RECAP!R$7,#REF!)),0)</f>
        <v>#REF!</v>
      </c>
      <c r="S62" s="110" t="e">
        <f>ROUND((1+SDI_COW)*(SUMIF(#REF!,RECAP!S$7,#REF!)),0)</f>
        <v>#REF!</v>
      </c>
      <c r="T62" s="110" t="e">
        <f>ROUND((1+SDI_COW)*(SUMIF(#REF!,RECAP!T$7,#REF!)),0)</f>
        <v>#REF!</v>
      </c>
      <c r="U62" s="110" t="e">
        <f>ROUND((1+SDI_COW)*(SUMIF(#REF!,RECAP!U$7,#REF!)),0)</f>
        <v>#REF!</v>
      </c>
      <c r="V62" s="110" t="e">
        <f>ROUND((1+SDI_COW)*(SUMIF(#REF!,RECAP!V$7,#REF!)),0)</f>
        <v>#REF!</v>
      </c>
      <c r="W62" s="110" t="e">
        <f>ROUND((1+SDI_COW)*(SUMIF(#REF!,RECAP!W$7,#REF!)),0)</f>
        <v>#REF!</v>
      </c>
      <c r="X62" s="110" t="e">
        <f>ROUND((1+SDI_COW)*(SUMIF(#REF!,RECAP!X$7,#REF!)),0)</f>
        <v>#REF!</v>
      </c>
      <c r="Y62" s="110" t="e">
        <f>ROUND((1+SDI_COW)*(SUMIF(#REF!,RECAP!Y$7,#REF!)),0)</f>
        <v>#REF!</v>
      </c>
      <c r="Z62" s="110" t="e">
        <f>ROUND((1+SDI_COW)*(SUMIF(#REF!,RECAP!Z$7,#REF!)),0)</f>
        <v>#REF!</v>
      </c>
      <c r="AA62" s="114" t="e">
        <f>ROUND((1+SDI_COW)*(SUMIF(#REF!,RECAP!AA$7,#REF!)),0)</f>
        <v>#REF!</v>
      </c>
      <c r="AB62" s="316">
        <f t="shared" si="7"/>
        <v>355523</v>
      </c>
      <c r="AC62" s="84"/>
      <c r="AD62" s="356" t="e">
        <f>ROUND((1+SDI_COW)*#REF!,0)</f>
        <v>#REF!</v>
      </c>
      <c r="AE62" s="357" t="e">
        <f>#REF!</f>
        <v>#REF!</v>
      </c>
      <c r="AF62" s="97" t="e">
        <f>ROUND((1+SDI_COW)*#REF!,0)</f>
        <v>#REF!</v>
      </c>
      <c r="AG62" s="97" t="e">
        <f>#REF!</f>
        <v>#REF!</v>
      </c>
      <c r="AH62" s="84"/>
      <c r="AI62" s="98"/>
      <c r="AJ62" s="84"/>
    </row>
    <row r="63" spans="3:36" s="100" customFormat="1" ht="15" thickBot="1">
      <c r="C63" s="91"/>
      <c r="E63" s="321"/>
      <c r="F63" s="322"/>
      <c r="G63" s="322"/>
      <c r="H63" s="323"/>
      <c r="I63" s="323"/>
      <c r="J63" s="120"/>
      <c r="K63" s="120"/>
      <c r="L63" s="120"/>
      <c r="M63" s="120"/>
      <c r="N63" s="120"/>
      <c r="O63" s="120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2"/>
      <c r="AB63" s="331"/>
      <c r="AC63" s="332"/>
      <c r="AD63" s="360"/>
      <c r="AE63" s="361"/>
      <c r="AF63" s="333"/>
      <c r="AG63" s="333"/>
      <c r="AH63" s="332"/>
      <c r="AI63" s="334"/>
      <c r="AJ63" s="332"/>
    </row>
    <row r="64" spans="3:36" s="95" customFormat="1" ht="20.25" customHeight="1" thickTop="1" thickBot="1">
      <c r="E64" s="324" t="s">
        <v>111</v>
      </c>
      <c r="F64" s="325"/>
      <c r="G64" s="325"/>
      <c r="H64" s="326">
        <f t="shared" ref="H64:AB64" si="8">SUM(H11:H63)</f>
        <v>3902404</v>
      </c>
      <c r="I64" s="326">
        <f t="shared" si="8"/>
        <v>17292261</v>
      </c>
      <c r="J64" s="326" t="e">
        <f t="shared" si="8"/>
        <v>#REF!</v>
      </c>
      <c r="K64" s="326" t="e">
        <f t="shared" si="8"/>
        <v>#REF!</v>
      </c>
      <c r="L64" s="326" t="e">
        <f t="shared" si="8"/>
        <v>#REF!</v>
      </c>
      <c r="M64" s="326" t="e">
        <f t="shared" si="8"/>
        <v>#REF!</v>
      </c>
      <c r="N64" s="326" t="e">
        <f t="shared" si="8"/>
        <v>#REF!</v>
      </c>
      <c r="O64" s="326" t="e">
        <f t="shared" si="8"/>
        <v>#REF!</v>
      </c>
      <c r="P64" s="326" t="e">
        <f t="shared" si="8"/>
        <v>#REF!</v>
      </c>
      <c r="Q64" s="326" t="e">
        <f t="shared" si="8"/>
        <v>#REF!</v>
      </c>
      <c r="R64" s="326" t="e">
        <f t="shared" si="8"/>
        <v>#REF!</v>
      </c>
      <c r="S64" s="326" t="e">
        <f t="shared" si="8"/>
        <v>#REF!</v>
      </c>
      <c r="T64" s="326" t="e">
        <f t="shared" si="8"/>
        <v>#REF!</v>
      </c>
      <c r="U64" s="326" t="e">
        <f t="shared" si="8"/>
        <v>#REF!</v>
      </c>
      <c r="V64" s="326" t="e">
        <f t="shared" si="8"/>
        <v>#REF!</v>
      </c>
      <c r="W64" s="326" t="e">
        <f t="shared" si="8"/>
        <v>#REF!</v>
      </c>
      <c r="X64" s="326" t="e">
        <f t="shared" si="8"/>
        <v>#REF!</v>
      </c>
      <c r="Y64" s="326" t="e">
        <f t="shared" si="8"/>
        <v>#REF!</v>
      </c>
      <c r="Z64" s="326" t="e">
        <f t="shared" si="8"/>
        <v>#REF!</v>
      </c>
      <c r="AA64" s="326" t="e">
        <f t="shared" si="8"/>
        <v>#REF!</v>
      </c>
      <c r="AB64" s="326">
        <f t="shared" si="8"/>
        <v>21194665</v>
      </c>
      <c r="AC64" s="309"/>
      <c r="AD64" s="336" t="e">
        <f>SUM(AD8:AD63)</f>
        <v>#REF!</v>
      </c>
      <c r="AE64" s="337"/>
      <c r="AF64" s="337" t="e">
        <f>SUM(AF8:AF63)</f>
        <v>#REF!</v>
      </c>
      <c r="AG64" s="337"/>
      <c r="AH64" s="309"/>
      <c r="AI64" s="338"/>
      <c r="AJ64" s="309"/>
    </row>
    <row r="65" spans="2:36" ht="20.25" customHeight="1" thickTop="1" thickBot="1">
      <c r="C65" s="90"/>
      <c r="E65" s="327"/>
      <c r="F65" s="328" t="s">
        <v>112</v>
      </c>
      <c r="G65" s="328"/>
      <c r="H65" s="323">
        <v>172480.99826159162</v>
      </c>
      <c r="I65" s="323">
        <v>764294.63466109312</v>
      </c>
      <c r="J65" s="323" t="e">
        <f t="shared" ref="J65:AA65" si="9">J$64/$AB$64*$AB65</f>
        <v>#REF!</v>
      </c>
      <c r="K65" s="120" t="e">
        <f t="shared" si="9"/>
        <v>#REF!</v>
      </c>
      <c r="L65" s="120" t="e">
        <f t="shared" si="9"/>
        <v>#REF!</v>
      </c>
      <c r="M65" s="120" t="e">
        <f t="shared" si="9"/>
        <v>#REF!</v>
      </c>
      <c r="N65" s="120" t="e">
        <f t="shared" si="9"/>
        <v>#REF!</v>
      </c>
      <c r="O65" s="120" t="e">
        <f t="shared" si="9"/>
        <v>#REF!</v>
      </c>
      <c r="P65" s="120" t="e">
        <f t="shared" si="9"/>
        <v>#REF!</v>
      </c>
      <c r="Q65" s="120" t="e">
        <f t="shared" si="9"/>
        <v>#REF!</v>
      </c>
      <c r="R65" s="120" t="e">
        <f t="shared" si="9"/>
        <v>#REF!</v>
      </c>
      <c r="S65" s="120" t="e">
        <f t="shared" si="9"/>
        <v>#REF!</v>
      </c>
      <c r="T65" s="120" t="e">
        <f t="shared" si="9"/>
        <v>#REF!</v>
      </c>
      <c r="U65" s="120" t="e">
        <f t="shared" si="9"/>
        <v>#REF!</v>
      </c>
      <c r="V65" s="120" t="e">
        <f t="shared" si="9"/>
        <v>#REF!</v>
      </c>
      <c r="W65" s="120" t="e">
        <f t="shared" si="9"/>
        <v>#REF!</v>
      </c>
      <c r="X65" s="120" t="e">
        <f t="shared" si="9"/>
        <v>#REF!</v>
      </c>
      <c r="Y65" s="120" t="e">
        <f t="shared" si="9"/>
        <v>#REF!</v>
      </c>
      <c r="Z65" s="120" t="e">
        <f t="shared" si="9"/>
        <v>#REF!</v>
      </c>
      <c r="AA65" s="125" t="e">
        <f t="shared" si="9"/>
        <v>#REF!</v>
      </c>
      <c r="AB65" s="339">
        <f>H65+I65</f>
        <v>936775.63292268477</v>
      </c>
      <c r="AD65" s="362" t="e">
        <f>#REF!</f>
        <v>#REF!</v>
      </c>
      <c r="AE65" s="363"/>
      <c r="AF65" s="340" t="e">
        <f>#REF!</f>
        <v>#REF!</v>
      </c>
      <c r="AG65" s="340"/>
      <c r="AI65" s="341"/>
    </row>
    <row r="66" spans="2:36" ht="20.25" customHeight="1" thickTop="1" thickBot="1">
      <c r="B66" s="101"/>
      <c r="C66" s="90"/>
      <c r="E66" s="324" t="s">
        <v>113</v>
      </c>
      <c r="F66" s="325"/>
      <c r="G66" s="325"/>
      <c r="H66" s="326">
        <v>4074884.9982615914</v>
      </c>
      <c r="I66" s="326">
        <v>18056555.634661093</v>
      </c>
      <c r="J66" s="326" t="e">
        <f t="shared" ref="J66:AA66" si="10">SUM(J64:J65)</f>
        <v>#REF!</v>
      </c>
      <c r="K66" s="123" t="e">
        <f t="shared" si="10"/>
        <v>#REF!</v>
      </c>
      <c r="L66" s="123" t="e">
        <f t="shared" si="10"/>
        <v>#REF!</v>
      </c>
      <c r="M66" s="123" t="e">
        <f t="shared" si="10"/>
        <v>#REF!</v>
      </c>
      <c r="N66" s="123" t="e">
        <f t="shared" si="10"/>
        <v>#REF!</v>
      </c>
      <c r="O66" s="123" t="e">
        <f t="shared" si="10"/>
        <v>#REF!</v>
      </c>
      <c r="P66" s="123" t="e">
        <f t="shared" si="10"/>
        <v>#REF!</v>
      </c>
      <c r="Q66" s="123" t="e">
        <f t="shared" si="10"/>
        <v>#REF!</v>
      </c>
      <c r="R66" s="123" t="e">
        <f t="shared" si="10"/>
        <v>#REF!</v>
      </c>
      <c r="S66" s="123" t="e">
        <f t="shared" si="10"/>
        <v>#REF!</v>
      </c>
      <c r="T66" s="123" t="e">
        <f t="shared" si="10"/>
        <v>#REF!</v>
      </c>
      <c r="U66" s="123" t="e">
        <f t="shared" si="10"/>
        <v>#REF!</v>
      </c>
      <c r="V66" s="123" t="e">
        <f t="shared" si="10"/>
        <v>#REF!</v>
      </c>
      <c r="W66" s="123" t="e">
        <f t="shared" si="10"/>
        <v>#REF!</v>
      </c>
      <c r="X66" s="123" t="e">
        <f t="shared" si="10"/>
        <v>#REF!</v>
      </c>
      <c r="Y66" s="123" t="e">
        <f t="shared" si="10"/>
        <v>#REF!</v>
      </c>
      <c r="Z66" s="123" t="e">
        <f t="shared" si="10"/>
        <v>#REF!</v>
      </c>
      <c r="AA66" s="124" t="e">
        <f t="shared" si="10"/>
        <v>#REF!</v>
      </c>
      <c r="AB66" s="335">
        <f>SUM(AB64:AB65)</f>
        <v>22131440.632922687</v>
      </c>
      <c r="AD66" s="336" t="e">
        <f>SUM(AD64:AD65)</f>
        <v>#REF!</v>
      </c>
      <c r="AE66" s="337"/>
      <c r="AF66" s="337" t="e">
        <f>SUM(AF64:AF65)</f>
        <v>#REF!</v>
      </c>
      <c r="AG66" s="337"/>
      <c r="AI66" s="338"/>
    </row>
    <row r="67" spans="2:36" ht="20.25" customHeight="1" thickTop="1">
      <c r="B67" s="102"/>
      <c r="C67" s="90"/>
      <c r="E67" s="294"/>
      <c r="F67" s="329" t="s">
        <v>114</v>
      </c>
      <c r="G67" s="329"/>
      <c r="H67" s="296">
        <v>53981.070572429431</v>
      </c>
      <c r="I67" s="296">
        <v>239199.92942757058</v>
      </c>
      <c r="J67" s="296" t="e">
        <f t="shared" ref="J67:S69" si="11">J$64/$AB$64*$AB67</f>
        <v>#REF!</v>
      </c>
      <c r="K67" s="110" t="e">
        <f t="shared" si="11"/>
        <v>#REF!</v>
      </c>
      <c r="L67" s="110" t="e">
        <f t="shared" si="11"/>
        <v>#REF!</v>
      </c>
      <c r="M67" s="110" t="e">
        <f t="shared" si="11"/>
        <v>#REF!</v>
      </c>
      <c r="N67" s="110" t="e">
        <f t="shared" si="11"/>
        <v>#REF!</v>
      </c>
      <c r="O67" s="110" t="e">
        <f t="shared" si="11"/>
        <v>#REF!</v>
      </c>
      <c r="P67" s="110" t="e">
        <f t="shared" si="11"/>
        <v>#REF!</v>
      </c>
      <c r="Q67" s="110" t="e">
        <f t="shared" si="11"/>
        <v>#REF!</v>
      </c>
      <c r="R67" s="110" t="e">
        <f t="shared" si="11"/>
        <v>#REF!</v>
      </c>
      <c r="S67" s="110" t="e">
        <f t="shared" si="11"/>
        <v>#REF!</v>
      </c>
      <c r="T67" s="110" t="e">
        <f t="shared" ref="T67:AA69" si="12">T$64/$AB$64*$AB67</f>
        <v>#REF!</v>
      </c>
      <c r="U67" s="110" t="e">
        <f t="shared" si="12"/>
        <v>#REF!</v>
      </c>
      <c r="V67" s="110" t="e">
        <f t="shared" si="12"/>
        <v>#REF!</v>
      </c>
      <c r="W67" s="110" t="e">
        <f t="shared" si="12"/>
        <v>#REF!</v>
      </c>
      <c r="X67" s="110" t="e">
        <f t="shared" si="12"/>
        <v>#REF!</v>
      </c>
      <c r="Y67" s="110" t="e">
        <f t="shared" si="12"/>
        <v>#REF!</v>
      </c>
      <c r="Z67" s="110" t="e">
        <f t="shared" si="12"/>
        <v>#REF!</v>
      </c>
      <c r="AA67" s="114" t="e">
        <f t="shared" si="12"/>
        <v>#REF!</v>
      </c>
      <c r="AB67" s="342">
        <f>H67+I67</f>
        <v>293181</v>
      </c>
      <c r="AD67" s="364" t="e">
        <f>VALUE*GL</f>
        <v>#REF!</v>
      </c>
      <c r="AE67" s="365"/>
      <c r="AF67" s="343" t="e">
        <f>VALUE*GL</f>
        <v>#REF!</v>
      </c>
      <c r="AG67" s="343"/>
      <c r="AI67" s="344"/>
    </row>
    <row r="68" spans="2:36" ht="20.25" customHeight="1">
      <c r="B68" s="102"/>
      <c r="C68" s="90"/>
      <c r="E68" s="294"/>
      <c r="F68" s="329" t="s">
        <v>115</v>
      </c>
      <c r="G68" s="330"/>
      <c r="H68" s="296">
        <v>9388.0122734659872</v>
      </c>
      <c r="I68" s="296">
        <v>41599.987726534011</v>
      </c>
      <c r="J68" s="296" t="e">
        <f t="shared" si="11"/>
        <v>#REF!</v>
      </c>
      <c r="K68" s="110" t="e">
        <f t="shared" si="11"/>
        <v>#REF!</v>
      </c>
      <c r="L68" s="110" t="e">
        <f t="shared" si="11"/>
        <v>#REF!</v>
      </c>
      <c r="M68" s="110" t="e">
        <f t="shared" si="11"/>
        <v>#REF!</v>
      </c>
      <c r="N68" s="110" t="e">
        <f t="shared" si="11"/>
        <v>#REF!</v>
      </c>
      <c r="O68" s="110" t="e">
        <f t="shared" si="11"/>
        <v>#REF!</v>
      </c>
      <c r="P68" s="110" t="e">
        <f t="shared" si="11"/>
        <v>#REF!</v>
      </c>
      <c r="Q68" s="110" t="e">
        <f t="shared" si="11"/>
        <v>#REF!</v>
      </c>
      <c r="R68" s="110" t="e">
        <f t="shared" si="11"/>
        <v>#REF!</v>
      </c>
      <c r="S68" s="110" t="e">
        <f t="shared" si="11"/>
        <v>#REF!</v>
      </c>
      <c r="T68" s="110" t="e">
        <f t="shared" si="12"/>
        <v>#REF!</v>
      </c>
      <c r="U68" s="110" t="e">
        <f t="shared" si="12"/>
        <v>#REF!</v>
      </c>
      <c r="V68" s="110" t="e">
        <f t="shared" si="12"/>
        <v>#REF!</v>
      </c>
      <c r="W68" s="110" t="e">
        <f t="shared" si="12"/>
        <v>#REF!</v>
      </c>
      <c r="X68" s="110" t="e">
        <f t="shared" si="12"/>
        <v>#REF!</v>
      </c>
      <c r="Y68" s="110" t="e">
        <f t="shared" si="12"/>
        <v>#REF!</v>
      </c>
      <c r="Z68" s="110" t="e">
        <f t="shared" si="12"/>
        <v>#REF!</v>
      </c>
      <c r="AA68" s="114" t="e">
        <f t="shared" si="12"/>
        <v>#REF!</v>
      </c>
      <c r="AB68" s="342">
        <f t="shared" ref="AB68:AB71" si="13">H68+I68</f>
        <v>50988</v>
      </c>
      <c r="AD68" s="356" t="e">
        <f>VALUE*BR</f>
        <v>#REF!</v>
      </c>
      <c r="AE68" s="357"/>
      <c r="AF68" s="316" t="e">
        <f>VALUE*BR</f>
        <v>#REF!</v>
      </c>
      <c r="AG68" s="316"/>
      <c r="AI68" s="317"/>
    </row>
    <row r="69" spans="2:36" ht="20.25" customHeight="1">
      <c r="B69" s="101"/>
      <c r="C69" s="90"/>
      <c r="E69" s="294"/>
      <c r="F69" s="329" t="s">
        <v>116</v>
      </c>
      <c r="G69" s="407" t="s">
        <v>641</v>
      </c>
      <c r="H69" s="296">
        <v>0</v>
      </c>
      <c r="I69" s="296">
        <v>0</v>
      </c>
      <c r="J69" s="296" t="e">
        <f t="shared" si="11"/>
        <v>#REF!</v>
      </c>
      <c r="K69" s="110" t="e">
        <f t="shared" si="11"/>
        <v>#REF!</v>
      </c>
      <c r="L69" s="110" t="e">
        <f t="shared" si="11"/>
        <v>#REF!</v>
      </c>
      <c r="M69" s="110" t="e">
        <f t="shared" si="11"/>
        <v>#REF!</v>
      </c>
      <c r="N69" s="110" t="e">
        <f t="shared" si="11"/>
        <v>#REF!</v>
      </c>
      <c r="O69" s="110" t="e">
        <f t="shared" si="11"/>
        <v>#REF!</v>
      </c>
      <c r="P69" s="110" t="e">
        <f t="shared" si="11"/>
        <v>#REF!</v>
      </c>
      <c r="Q69" s="110" t="e">
        <f t="shared" si="11"/>
        <v>#REF!</v>
      </c>
      <c r="R69" s="110" t="e">
        <f t="shared" si="11"/>
        <v>#REF!</v>
      </c>
      <c r="S69" s="110" t="e">
        <f t="shared" si="11"/>
        <v>#REF!</v>
      </c>
      <c r="T69" s="110" t="e">
        <f t="shared" si="12"/>
        <v>#REF!</v>
      </c>
      <c r="U69" s="110" t="e">
        <f t="shared" si="12"/>
        <v>#REF!</v>
      </c>
      <c r="V69" s="110" t="e">
        <f t="shared" si="12"/>
        <v>#REF!</v>
      </c>
      <c r="W69" s="110" t="e">
        <f t="shared" si="12"/>
        <v>#REF!</v>
      </c>
      <c r="X69" s="110" t="e">
        <f t="shared" si="12"/>
        <v>#REF!</v>
      </c>
      <c r="Y69" s="110" t="e">
        <f t="shared" si="12"/>
        <v>#REF!</v>
      </c>
      <c r="Z69" s="110" t="e">
        <f t="shared" si="12"/>
        <v>#REF!</v>
      </c>
      <c r="AA69" s="114" t="e">
        <f t="shared" si="12"/>
        <v>#REF!</v>
      </c>
      <c r="AB69" s="342">
        <f t="shared" si="13"/>
        <v>0</v>
      </c>
      <c r="AD69" s="356"/>
      <c r="AE69" s="357"/>
      <c r="AF69" s="316" t="e">
        <f>#REF!</f>
        <v>#REF!</v>
      </c>
      <c r="AG69" s="316"/>
      <c r="AI69" s="317"/>
    </row>
    <row r="70" spans="2:36" s="100" customFormat="1" ht="21" customHeight="1">
      <c r="B70" s="102"/>
      <c r="E70" s="129"/>
      <c r="F70" s="329" t="s">
        <v>724</v>
      </c>
      <c r="G70" s="330"/>
      <c r="H70" s="296">
        <v>48946</v>
      </c>
      <c r="I70" s="296">
        <v>224174</v>
      </c>
      <c r="J70" s="296" t="e">
        <f>ROUND(SDI_Line*(J64-J11-#REF!-#REF!-J12),0)</f>
        <v>#REF!</v>
      </c>
      <c r="K70" s="110" t="e">
        <f>ROUND(SDI_Line*(K64-K11-#REF!-#REF!-K12),0)</f>
        <v>#REF!</v>
      </c>
      <c r="L70" s="110" t="e">
        <f>ROUND(SDI_Line*(L64-L11-#REF!-#REF!-L12),0)</f>
        <v>#REF!</v>
      </c>
      <c r="M70" s="110" t="e">
        <f>ROUND(SDI_Line*(M64-M11-#REF!-#REF!-M12),0)</f>
        <v>#REF!</v>
      </c>
      <c r="N70" s="110" t="e">
        <f>ROUND(SDI_Line*(N64-N11-#REF!-#REF!-N12),0)</f>
        <v>#REF!</v>
      </c>
      <c r="O70" s="110" t="e">
        <f>ROUND(SDI_Line*(O64-O11-#REF!-#REF!-O12),0)</f>
        <v>#REF!</v>
      </c>
      <c r="P70" s="110" t="e">
        <f>ROUND(SDI_Line*(P64-P11-#REF!-#REF!-P12),0)</f>
        <v>#REF!</v>
      </c>
      <c r="Q70" s="110" t="e">
        <f>ROUND(SDI_Line*(Q64-Q11-#REF!-#REF!-Q12),0)</f>
        <v>#REF!</v>
      </c>
      <c r="R70" s="110" t="e">
        <f>ROUND(SDI_Line*(R64-R11-#REF!-#REF!-R12),0)</f>
        <v>#REF!</v>
      </c>
      <c r="S70" s="110" t="e">
        <f>ROUND(SDI_Line*(S64-S11-#REF!-#REF!-S12),0)</f>
        <v>#REF!</v>
      </c>
      <c r="T70" s="110" t="e">
        <f>ROUND(SDI_Line*(T64-T11-#REF!-#REF!-T12),0)</f>
        <v>#REF!</v>
      </c>
      <c r="U70" s="110" t="e">
        <f>ROUND(SDI_Line*(U64-U11-#REF!-#REF!-U12),0)</f>
        <v>#REF!</v>
      </c>
      <c r="V70" s="110" t="e">
        <f>ROUND(SDI_Line*(V64-V11-#REF!-#REF!-V12),0)</f>
        <v>#REF!</v>
      </c>
      <c r="W70" s="110" t="e">
        <f>ROUND(SDI_Line*(W64-W11-#REF!-#REF!-W12),0)</f>
        <v>#REF!</v>
      </c>
      <c r="X70" s="110" t="e">
        <f>ROUND(SDI_Line*(X64-X11-#REF!-#REF!-X12),0)</f>
        <v>#REF!</v>
      </c>
      <c r="Y70" s="110" t="e">
        <f>ROUND(SDI_Line*(Y64-Y11-#REF!-#REF!-Y12),0)</f>
        <v>#REF!</v>
      </c>
      <c r="Z70" s="110" t="e">
        <f>ROUND(SDI_Line*(Z64-Z11-#REF!-#REF!-Z12),0)</f>
        <v>#REF!</v>
      </c>
      <c r="AA70" s="114" t="e">
        <f>ROUND(SDI_Line*(AA64-AA11-#REF!-#REF!-AA12),0)</f>
        <v>#REF!</v>
      </c>
      <c r="AB70" s="342">
        <f t="shared" si="13"/>
        <v>273120</v>
      </c>
      <c r="AD70" s="366" t="e">
        <f>(AD64-AD11-#REF!-#REF!-AD12)*SDI_Line</f>
        <v>#REF!</v>
      </c>
      <c r="AE70" s="367"/>
      <c r="AF70" s="103" t="e">
        <f>(AF64-AF11-#REF!-#REF!-AF12)*SDI_Line</f>
        <v>#REF!</v>
      </c>
      <c r="AG70" s="103"/>
      <c r="AI70" s="104"/>
    </row>
    <row r="71" spans="2:36" ht="20.25" customHeight="1" thickBot="1">
      <c r="B71" s="101"/>
      <c r="C71" s="90"/>
      <c r="E71" s="321"/>
      <c r="F71" s="328" t="s">
        <v>117</v>
      </c>
      <c r="G71" s="345"/>
      <c r="H71" s="323">
        <v>34140.841626909911</v>
      </c>
      <c r="I71" s="323">
        <v>151284.27097045584</v>
      </c>
      <c r="J71" s="323" t="e">
        <f t="shared" ref="J71:AA71" si="14">J$64/$AB$64*$AB71</f>
        <v>#REF!</v>
      </c>
      <c r="K71" s="120" t="e">
        <f t="shared" si="14"/>
        <v>#REF!</v>
      </c>
      <c r="L71" s="120" t="e">
        <f t="shared" si="14"/>
        <v>#REF!</v>
      </c>
      <c r="M71" s="120" t="e">
        <f t="shared" si="14"/>
        <v>#REF!</v>
      </c>
      <c r="N71" s="120" t="e">
        <f t="shared" si="14"/>
        <v>#REF!</v>
      </c>
      <c r="O71" s="120" t="e">
        <f t="shared" si="14"/>
        <v>#REF!</v>
      </c>
      <c r="P71" s="120" t="e">
        <f t="shared" si="14"/>
        <v>#REF!</v>
      </c>
      <c r="Q71" s="120" t="e">
        <f t="shared" si="14"/>
        <v>#REF!</v>
      </c>
      <c r="R71" s="120" t="e">
        <f t="shared" si="14"/>
        <v>#REF!</v>
      </c>
      <c r="S71" s="120" t="e">
        <f t="shared" si="14"/>
        <v>#REF!</v>
      </c>
      <c r="T71" s="120" t="e">
        <f t="shared" si="14"/>
        <v>#REF!</v>
      </c>
      <c r="U71" s="120" t="e">
        <f t="shared" si="14"/>
        <v>#REF!</v>
      </c>
      <c r="V71" s="120" t="e">
        <f t="shared" si="14"/>
        <v>#REF!</v>
      </c>
      <c r="W71" s="120" t="e">
        <f t="shared" si="14"/>
        <v>#REF!</v>
      </c>
      <c r="X71" s="120" t="e">
        <f t="shared" si="14"/>
        <v>#REF!</v>
      </c>
      <c r="Y71" s="120" t="e">
        <f t="shared" si="14"/>
        <v>#REF!</v>
      </c>
      <c r="Z71" s="120" t="e">
        <f t="shared" si="14"/>
        <v>#REF!</v>
      </c>
      <c r="AA71" s="125" t="e">
        <f t="shared" si="14"/>
        <v>#REF!</v>
      </c>
      <c r="AB71" s="342">
        <f t="shared" si="13"/>
        <v>185425.11259736575</v>
      </c>
      <c r="AD71" s="360" t="e">
        <f>IF(#REF!=1,#REF!,0)</f>
        <v>#REF!</v>
      </c>
      <c r="AE71" s="361"/>
      <c r="AF71" s="333" t="e">
        <f>IF(#REF!=1,#REF!,0)</f>
        <v>#REF!</v>
      </c>
      <c r="AG71" s="333"/>
      <c r="AI71" s="334"/>
    </row>
    <row r="72" spans="2:36" ht="20.25" customHeight="1" thickTop="1" thickBot="1">
      <c r="B72" s="101"/>
      <c r="C72" s="90"/>
      <c r="E72" s="324" t="s">
        <v>113</v>
      </c>
      <c r="F72" s="325"/>
      <c r="G72" s="325"/>
      <c r="H72" s="346">
        <f t="shared" ref="H72:AB72" si="15">SUM(H66:H71)</f>
        <v>4221340.9227343965</v>
      </c>
      <c r="I72" s="346">
        <f t="shared" si="15"/>
        <v>18712813.822785657</v>
      </c>
      <c r="J72" s="346" t="e">
        <f t="shared" si="15"/>
        <v>#REF!</v>
      </c>
      <c r="K72" s="123" t="e">
        <f t="shared" si="15"/>
        <v>#REF!</v>
      </c>
      <c r="L72" s="123" t="e">
        <f t="shared" si="15"/>
        <v>#REF!</v>
      </c>
      <c r="M72" s="123" t="e">
        <f t="shared" si="15"/>
        <v>#REF!</v>
      </c>
      <c r="N72" s="123" t="e">
        <f t="shared" si="15"/>
        <v>#REF!</v>
      </c>
      <c r="O72" s="123" t="e">
        <f t="shared" si="15"/>
        <v>#REF!</v>
      </c>
      <c r="P72" s="123" t="e">
        <f t="shared" si="15"/>
        <v>#REF!</v>
      </c>
      <c r="Q72" s="123" t="e">
        <f t="shared" si="15"/>
        <v>#REF!</v>
      </c>
      <c r="R72" s="123" t="e">
        <f t="shared" si="15"/>
        <v>#REF!</v>
      </c>
      <c r="S72" s="123" t="e">
        <f t="shared" si="15"/>
        <v>#REF!</v>
      </c>
      <c r="T72" s="123" t="e">
        <f t="shared" si="15"/>
        <v>#REF!</v>
      </c>
      <c r="U72" s="123" t="e">
        <f t="shared" si="15"/>
        <v>#REF!</v>
      </c>
      <c r="V72" s="123" t="e">
        <f t="shared" si="15"/>
        <v>#REF!</v>
      </c>
      <c r="W72" s="123" t="e">
        <f t="shared" si="15"/>
        <v>#REF!</v>
      </c>
      <c r="X72" s="123" t="e">
        <f t="shared" si="15"/>
        <v>#REF!</v>
      </c>
      <c r="Y72" s="123" t="e">
        <f t="shared" si="15"/>
        <v>#REF!</v>
      </c>
      <c r="Z72" s="123" t="e">
        <f t="shared" si="15"/>
        <v>#REF!</v>
      </c>
      <c r="AA72" s="124" t="e">
        <f t="shared" si="15"/>
        <v>#REF!</v>
      </c>
      <c r="AB72" s="335">
        <f t="shared" si="15"/>
        <v>22934154.745520052</v>
      </c>
      <c r="AD72" s="336" t="e">
        <f>SUM(AD66:AD71)</f>
        <v>#REF!</v>
      </c>
      <c r="AE72" s="337"/>
      <c r="AF72" s="337" t="e">
        <f>SUM(AF66:AF71)</f>
        <v>#REF!</v>
      </c>
      <c r="AG72" s="337"/>
      <c r="AI72" s="338"/>
    </row>
    <row r="73" spans="2:36" s="100" customFormat="1" ht="22.25" customHeight="1" thickTop="1">
      <c r="B73" s="102"/>
      <c r="E73" s="404">
        <v>0</v>
      </c>
      <c r="F73" s="426" t="s">
        <v>868</v>
      </c>
      <c r="G73" s="329"/>
      <c r="H73" s="296">
        <f>E73*H72</f>
        <v>0</v>
      </c>
      <c r="I73" s="296">
        <f>E73*I72</f>
        <v>0</v>
      </c>
      <c r="J73" s="296" t="e">
        <f t="shared" ref="J73:AF73" si="16">J72*$E73</f>
        <v>#REF!</v>
      </c>
      <c r="K73" s="294" t="e">
        <f t="shared" si="16"/>
        <v>#REF!</v>
      </c>
      <c r="L73" s="329" t="e">
        <f t="shared" si="16"/>
        <v>#REF!</v>
      </c>
      <c r="M73" s="329" t="e">
        <f t="shared" si="16"/>
        <v>#REF!</v>
      </c>
      <c r="N73" s="296" t="e">
        <f t="shared" si="16"/>
        <v>#REF!</v>
      </c>
      <c r="O73" s="296" t="e">
        <f t="shared" si="16"/>
        <v>#REF!</v>
      </c>
      <c r="P73" s="342" t="e">
        <f t="shared" si="16"/>
        <v>#REF!</v>
      </c>
      <c r="Q73" s="294" t="e">
        <f t="shared" si="16"/>
        <v>#REF!</v>
      </c>
      <c r="R73" s="329" t="e">
        <f t="shared" si="16"/>
        <v>#REF!</v>
      </c>
      <c r="S73" s="329" t="e">
        <f t="shared" si="16"/>
        <v>#REF!</v>
      </c>
      <c r="T73" s="296" t="e">
        <f t="shared" si="16"/>
        <v>#REF!</v>
      </c>
      <c r="U73" s="296" t="e">
        <f t="shared" si="16"/>
        <v>#REF!</v>
      </c>
      <c r="V73" s="342" t="e">
        <f t="shared" si="16"/>
        <v>#REF!</v>
      </c>
      <c r="W73" s="294" t="e">
        <f t="shared" si="16"/>
        <v>#REF!</v>
      </c>
      <c r="X73" s="329" t="e">
        <f t="shared" si="16"/>
        <v>#REF!</v>
      </c>
      <c r="Y73" s="329" t="e">
        <f t="shared" si="16"/>
        <v>#REF!</v>
      </c>
      <c r="Z73" s="296" t="e">
        <f t="shared" si="16"/>
        <v>#REF!</v>
      </c>
      <c r="AA73" s="296" t="e">
        <f t="shared" si="16"/>
        <v>#REF!</v>
      </c>
      <c r="AB73" s="342">
        <f>AB72*E73</f>
        <v>0</v>
      </c>
      <c r="AD73" s="364" t="e">
        <f t="shared" si="16"/>
        <v>#REF!</v>
      </c>
      <c r="AE73" s="365"/>
      <c r="AF73" s="343" t="e">
        <f t="shared" si="16"/>
        <v>#REF!</v>
      </c>
      <c r="AG73" s="343"/>
      <c r="AH73" s="282"/>
      <c r="AI73" s="344"/>
    </row>
    <row r="74" spans="2:36" ht="20.25" customHeight="1" thickBot="1">
      <c r="B74" s="101"/>
      <c r="C74" s="90"/>
      <c r="E74" s="327">
        <v>0.03</v>
      </c>
      <c r="F74" s="328" t="s">
        <v>118</v>
      </c>
      <c r="G74" s="328"/>
      <c r="H74" s="323">
        <f>H72*E74</f>
        <v>126640.22768203189</v>
      </c>
      <c r="I74" s="323">
        <f>I72*E74</f>
        <v>561384.41468356969</v>
      </c>
      <c r="J74" s="323" t="e">
        <f t="shared" ref="J74:AA74" si="17">J72*CONTINGENCY</f>
        <v>#REF!</v>
      </c>
      <c r="K74" s="120" t="e">
        <f t="shared" si="17"/>
        <v>#REF!</v>
      </c>
      <c r="L74" s="120" t="e">
        <f t="shared" si="17"/>
        <v>#REF!</v>
      </c>
      <c r="M74" s="120" t="e">
        <f t="shared" si="17"/>
        <v>#REF!</v>
      </c>
      <c r="N74" s="120" t="e">
        <f t="shared" si="17"/>
        <v>#REF!</v>
      </c>
      <c r="O74" s="120" t="e">
        <f t="shared" si="17"/>
        <v>#REF!</v>
      </c>
      <c r="P74" s="120" t="e">
        <f t="shared" si="17"/>
        <v>#REF!</v>
      </c>
      <c r="Q74" s="120" t="e">
        <f t="shared" si="17"/>
        <v>#REF!</v>
      </c>
      <c r="R74" s="120" t="e">
        <f t="shared" si="17"/>
        <v>#REF!</v>
      </c>
      <c r="S74" s="120" t="e">
        <f t="shared" si="17"/>
        <v>#REF!</v>
      </c>
      <c r="T74" s="120" t="e">
        <f t="shared" si="17"/>
        <v>#REF!</v>
      </c>
      <c r="U74" s="120" t="e">
        <f t="shared" si="17"/>
        <v>#REF!</v>
      </c>
      <c r="V74" s="120" t="e">
        <f t="shared" si="17"/>
        <v>#REF!</v>
      </c>
      <c r="W74" s="120" t="e">
        <f t="shared" si="17"/>
        <v>#REF!</v>
      </c>
      <c r="X74" s="120" t="e">
        <f t="shared" si="17"/>
        <v>#REF!</v>
      </c>
      <c r="Y74" s="120" t="e">
        <f t="shared" si="17"/>
        <v>#REF!</v>
      </c>
      <c r="Z74" s="120" t="e">
        <f t="shared" si="17"/>
        <v>#REF!</v>
      </c>
      <c r="AA74" s="125" t="e">
        <f t="shared" si="17"/>
        <v>#REF!</v>
      </c>
      <c r="AB74" s="331">
        <f>AB72*E74</f>
        <v>688024.6423656015</v>
      </c>
      <c r="AD74" s="360" t="e">
        <f>AD72*CONTINGENCY</f>
        <v>#REF!</v>
      </c>
      <c r="AE74" s="361"/>
      <c r="AF74" s="333" t="e">
        <f>AF72*CONTINGENCY</f>
        <v>#REF!</v>
      </c>
      <c r="AG74" s="333"/>
      <c r="AI74" s="334"/>
    </row>
    <row r="75" spans="2:36" ht="20.25" customHeight="1" thickTop="1" thickBot="1">
      <c r="B75" s="101"/>
      <c r="C75" s="90"/>
      <c r="E75" s="324" t="s">
        <v>113</v>
      </c>
      <c r="F75" s="325"/>
      <c r="G75" s="325"/>
      <c r="H75" s="326">
        <f>SUM(H72:H74)</f>
        <v>4347981.1504164282</v>
      </c>
      <c r="I75" s="326">
        <f t="shared" ref="I75:AB75" si="18">SUM(I72:I74)</f>
        <v>19274198.237469226</v>
      </c>
      <c r="J75" s="326" t="e">
        <f t="shared" si="18"/>
        <v>#REF!</v>
      </c>
      <c r="K75" s="326" t="e">
        <f t="shared" si="18"/>
        <v>#REF!</v>
      </c>
      <c r="L75" s="326" t="e">
        <f t="shared" si="18"/>
        <v>#REF!</v>
      </c>
      <c r="M75" s="326" t="e">
        <f t="shared" si="18"/>
        <v>#REF!</v>
      </c>
      <c r="N75" s="326" t="e">
        <f t="shared" si="18"/>
        <v>#REF!</v>
      </c>
      <c r="O75" s="326" t="e">
        <f t="shared" si="18"/>
        <v>#REF!</v>
      </c>
      <c r="P75" s="326" t="e">
        <f t="shared" si="18"/>
        <v>#REF!</v>
      </c>
      <c r="Q75" s="326" t="e">
        <f t="shared" si="18"/>
        <v>#REF!</v>
      </c>
      <c r="R75" s="326" t="e">
        <f t="shared" si="18"/>
        <v>#REF!</v>
      </c>
      <c r="S75" s="326" t="e">
        <f t="shared" si="18"/>
        <v>#REF!</v>
      </c>
      <c r="T75" s="326" t="e">
        <f t="shared" si="18"/>
        <v>#REF!</v>
      </c>
      <c r="U75" s="326" t="e">
        <f t="shared" si="18"/>
        <v>#REF!</v>
      </c>
      <c r="V75" s="326" t="e">
        <f t="shared" si="18"/>
        <v>#REF!</v>
      </c>
      <c r="W75" s="326" t="e">
        <f t="shared" si="18"/>
        <v>#REF!</v>
      </c>
      <c r="X75" s="326" t="e">
        <f t="shared" si="18"/>
        <v>#REF!</v>
      </c>
      <c r="Y75" s="326" t="e">
        <f t="shared" si="18"/>
        <v>#REF!</v>
      </c>
      <c r="Z75" s="326" t="e">
        <f t="shared" si="18"/>
        <v>#REF!</v>
      </c>
      <c r="AA75" s="326" t="e">
        <f t="shared" si="18"/>
        <v>#REF!</v>
      </c>
      <c r="AB75" s="326">
        <f t="shared" si="18"/>
        <v>23622179.387885652</v>
      </c>
      <c r="AD75" s="336" t="e">
        <f t="shared" ref="AD75:AF75" si="19">SUM(AD72:AD74)</f>
        <v>#REF!</v>
      </c>
      <c r="AE75" s="337"/>
      <c r="AF75" s="337" t="e">
        <f t="shared" si="19"/>
        <v>#REF!</v>
      </c>
      <c r="AG75" s="337"/>
      <c r="AI75" s="338"/>
    </row>
    <row r="76" spans="2:36" s="100" customFormat="1" ht="21.75" customHeight="1" thickTop="1" thickBot="1">
      <c r="B76" s="102"/>
      <c r="E76" s="327">
        <v>3.7499999999999999E-2</v>
      </c>
      <c r="F76" s="328" t="s">
        <v>119</v>
      </c>
      <c r="G76" s="328"/>
      <c r="H76" s="323">
        <f>E76*H75</f>
        <v>163049.29314061606</v>
      </c>
      <c r="I76" s="323">
        <f>E76*I75</f>
        <v>722782.43390509591</v>
      </c>
      <c r="J76" s="323" t="e">
        <f t="shared" ref="J76:AA76" si="20">J75*FEE</f>
        <v>#REF!</v>
      </c>
      <c r="K76" s="120" t="e">
        <f t="shared" si="20"/>
        <v>#REF!</v>
      </c>
      <c r="L76" s="126" t="e">
        <f t="shared" si="20"/>
        <v>#REF!</v>
      </c>
      <c r="M76" s="126" t="e">
        <f t="shared" si="20"/>
        <v>#REF!</v>
      </c>
      <c r="N76" s="126" t="e">
        <f t="shared" si="20"/>
        <v>#REF!</v>
      </c>
      <c r="O76" s="126" t="e">
        <f t="shared" si="20"/>
        <v>#REF!</v>
      </c>
      <c r="P76" s="126" t="e">
        <f t="shared" si="20"/>
        <v>#REF!</v>
      </c>
      <c r="Q76" s="126" t="e">
        <f t="shared" si="20"/>
        <v>#REF!</v>
      </c>
      <c r="R76" s="126" t="e">
        <f t="shared" si="20"/>
        <v>#REF!</v>
      </c>
      <c r="S76" s="126" t="e">
        <f t="shared" si="20"/>
        <v>#REF!</v>
      </c>
      <c r="T76" s="126" t="e">
        <f t="shared" si="20"/>
        <v>#REF!</v>
      </c>
      <c r="U76" s="126" t="e">
        <f t="shared" si="20"/>
        <v>#REF!</v>
      </c>
      <c r="V76" s="126" t="e">
        <f t="shared" si="20"/>
        <v>#REF!</v>
      </c>
      <c r="W76" s="126" t="e">
        <f t="shared" si="20"/>
        <v>#REF!</v>
      </c>
      <c r="X76" s="126" t="e">
        <f t="shared" si="20"/>
        <v>#REF!</v>
      </c>
      <c r="Y76" s="126" t="e">
        <f t="shared" si="20"/>
        <v>#REF!</v>
      </c>
      <c r="Z76" s="126" t="e">
        <f t="shared" si="20"/>
        <v>#REF!</v>
      </c>
      <c r="AA76" s="127" t="e">
        <f t="shared" si="20"/>
        <v>#REF!</v>
      </c>
      <c r="AB76" s="339">
        <f>E76*AB75</f>
        <v>885831.72704571194</v>
      </c>
      <c r="AC76" s="332"/>
      <c r="AD76" s="366" t="e">
        <f>AD75*FEE</f>
        <v>#REF!</v>
      </c>
      <c r="AE76" s="367"/>
      <c r="AF76" s="347" t="e">
        <f>AF75*FEE</f>
        <v>#REF!</v>
      </c>
      <c r="AG76" s="347"/>
      <c r="AH76" s="332"/>
      <c r="AI76" s="348"/>
      <c r="AJ76" s="332"/>
    </row>
    <row r="77" spans="2:36" ht="20.25" customHeight="1" thickTop="1" thickBot="1">
      <c r="C77" s="90"/>
      <c r="E77" s="349" t="s">
        <v>18</v>
      </c>
      <c r="F77" s="350"/>
      <c r="G77" s="350"/>
      <c r="H77" s="351">
        <f>SUM(H75:H76)</f>
        <v>4511030.4435570445</v>
      </c>
      <c r="I77" s="351">
        <f t="shared" ref="I77:AB77" si="21">SUM(I75:I76)</f>
        <v>19996980.671374321</v>
      </c>
      <c r="J77" s="351" t="e">
        <f t="shared" si="21"/>
        <v>#REF!</v>
      </c>
      <c r="K77" s="351" t="e">
        <f t="shared" si="21"/>
        <v>#REF!</v>
      </c>
      <c r="L77" s="351" t="e">
        <f t="shared" si="21"/>
        <v>#REF!</v>
      </c>
      <c r="M77" s="351" t="e">
        <f t="shared" si="21"/>
        <v>#REF!</v>
      </c>
      <c r="N77" s="351" t="e">
        <f t="shared" si="21"/>
        <v>#REF!</v>
      </c>
      <c r="O77" s="351" t="e">
        <f t="shared" si="21"/>
        <v>#REF!</v>
      </c>
      <c r="P77" s="351" t="e">
        <f t="shared" si="21"/>
        <v>#REF!</v>
      </c>
      <c r="Q77" s="351" t="e">
        <f t="shared" si="21"/>
        <v>#REF!</v>
      </c>
      <c r="R77" s="351" t="e">
        <f t="shared" si="21"/>
        <v>#REF!</v>
      </c>
      <c r="S77" s="351" t="e">
        <f t="shared" si="21"/>
        <v>#REF!</v>
      </c>
      <c r="T77" s="351" t="e">
        <f t="shared" si="21"/>
        <v>#REF!</v>
      </c>
      <c r="U77" s="351" t="e">
        <f t="shared" si="21"/>
        <v>#REF!</v>
      </c>
      <c r="V77" s="351" t="e">
        <f t="shared" si="21"/>
        <v>#REF!</v>
      </c>
      <c r="W77" s="351" t="e">
        <f t="shared" si="21"/>
        <v>#REF!</v>
      </c>
      <c r="X77" s="351" t="e">
        <f t="shared" si="21"/>
        <v>#REF!</v>
      </c>
      <c r="Y77" s="351" t="e">
        <f t="shared" si="21"/>
        <v>#REF!</v>
      </c>
      <c r="Z77" s="351" t="e">
        <f t="shared" si="21"/>
        <v>#REF!</v>
      </c>
      <c r="AA77" s="351" t="e">
        <f t="shared" si="21"/>
        <v>#REF!</v>
      </c>
      <c r="AB77" s="351">
        <f t="shared" si="21"/>
        <v>24508011.114931364</v>
      </c>
      <c r="AD77" s="336" t="e">
        <f>SUM(#REF!)</f>
        <v>#REF!</v>
      </c>
      <c r="AE77" s="337"/>
      <c r="AF77" s="337" t="e">
        <f>SUM(#REF!)</f>
        <v>#REF!</v>
      </c>
      <c r="AG77" s="337"/>
      <c r="AI77" s="338"/>
    </row>
    <row r="78" spans="2:36" ht="20.25" customHeight="1" thickTop="1">
      <c r="E78" s="352"/>
      <c r="G78" s="282" t="s">
        <v>120</v>
      </c>
      <c r="H78" s="353">
        <f>H77/350000</f>
        <v>12.888658410162984</v>
      </c>
      <c r="I78" s="353">
        <f>I77/46290</f>
        <v>431.99353362225798</v>
      </c>
      <c r="J78" s="353" t="e">
        <f>J77/Area</f>
        <v>#REF!</v>
      </c>
      <c r="K78" s="105" t="e">
        <f>K77/Area</f>
        <v>#REF!</v>
      </c>
      <c r="AB78" s="354">
        <f>AB77/46290</f>
        <v>529.44504460858423</v>
      </c>
    </row>
    <row r="79" spans="2:36" ht="20.25" customHeight="1">
      <c r="E79" s="352"/>
      <c r="F79" s="282" t="s">
        <v>121</v>
      </c>
      <c r="G79" s="282" t="s">
        <v>122</v>
      </c>
      <c r="H79" s="283">
        <f>H77/(350000/43560)</f>
        <v>561429.96034669958</v>
      </c>
      <c r="I79" s="105"/>
      <c r="J79" s="105"/>
      <c r="K79" s="105"/>
      <c r="AB79" s="354"/>
    </row>
    <row r="80" spans="2:36" ht="20.25" customHeight="1">
      <c r="AD80" s="355"/>
      <c r="AE80" s="355"/>
      <c r="AF80" s="355"/>
    </row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</sheetData>
  <autoFilter ref="C7:AB77" xr:uid="{00000000-0009-0000-0000-000002000000}"/>
  <customSheetViews>
    <customSheetView guid="{F958FDE5-3918-4251-92E7-5EF1610ECABB}" showPageBreaks="1" fitToPage="1" printArea="1" showAutoFilter="1" hiddenColumns="1" topLeftCell="A103">
      <selection activeCell="I121" sqref="I121"/>
      <pageMargins left="0" right="0" top="0" bottom="0" header="0" footer="0"/>
      <printOptions horizontalCentered="1"/>
      <pageSetup scale="29" orientation="portrait" r:id="rId1"/>
      <autoFilter ref="C9:AD119" xr:uid="{E4323CCE-C040-4CA3-89A8-E382CF69D7C0}"/>
    </customSheetView>
    <customSheetView guid="{8857A4CB-FCBB-4E96-8BF1-4560F6DCA1CB}" showPageBreaks="1" fitToPage="1" printArea="1" filter="1" showAutoFilter="1" hiddenColumns="1" topLeftCell="A78">
      <selection activeCell="AD122" sqref="AD122"/>
      <pageMargins left="0" right="0" top="0" bottom="0" header="0" footer="0"/>
      <printOptions horizontalCentered="1"/>
      <pageSetup scale="56" orientation="portrait" r:id="rId2"/>
      <autoFilter ref="C9:AD119" xr:uid="{90A61240-1C37-45B2-993B-788AB3F28311}">
        <filterColumn colId="0">
          <filters blank="1"/>
        </filterColumn>
      </autoFilter>
    </customSheetView>
  </customSheetViews>
  <mergeCells count="1">
    <mergeCell ref="E4:F4"/>
  </mergeCells>
  <hyperlinks>
    <hyperlink ref="F27" location="DIV_06" display="WOODS &amp; PLASTICS" xr:uid="{00000000-0004-0000-0200-000000000000}"/>
  </hyperlinks>
  <printOptions horizontalCentered="1"/>
  <pageMargins left="0.45" right="0.45" top="0.96822916666666703" bottom="0.5" header="0.3" footer="0.3"/>
  <pageSetup scale="65" fitToHeight="0" orientation="portrait" r:id="rId3"/>
  <headerFooter>
    <oddHeader>&amp;L&amp;G&amp;R&amp;"Calibri,Bold"&amp;20&amp;U&amp;K559CBEATTACHMENT #2: PA CONSTRUCTION COST RECAP</oddHeader>
    <oddFooter>&amp;C&amp;P OF &amp;N</oddFoot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C2:W1312"/>
  <sheetViews>
    <sheetView tabSelected="1" view="pageLayout" zoomScaleNormal="100" workbookViewId="0">
      <selection activeCell="I2" sqref="I2"/>
    </sheetView>
  </sheetViews>
  <sheetFormatPr defaultRowHeight="12.5"/>
  <cols>
    <col min="1" max="3" width="5.6328125" customWidth="1"/>
    <col min="4" max="4" width="9.08984375" style="1"/>
    <col min="11" max="11" width="11.54296875" bestFit="1" customWidth="1"/>
    <col min="12" max="12" width="11.453125" customWidth="1"/>
    <col min="13" max="13" width="12.90625" bestFit="1" customWidth="1"/>
    <col min="14" max="14" width="12.453125" customWidth="1"/>
    <col min="15" max="15" width="14.36328125" customWidth="1"/>
    <col min="17" max="17" width="10.90625" customWidth="1"/>
    <col min="19" max="19" width="12.08984375" customWidth="1"/>
    <col min="21" max="23" width="20.81640625" customWidth="1"/>
  </cols>
  <sheetData>
    <row r="2" spans="3:21" ht="13">
      <c r="D2" s="52"/>
    </row>
    <row r="3" spans="3:21" ht="13">
      <c r="D3" s="52" t="s">
        <v>567</v>
      </c>
    </row>
    <row r="4" spans="3:21" ht="13" thickBot="1"/>
    <row r="5" spans="3:21" s="1" customFormat="1" ht="13" thickTop="1">
      <c r="D5" s="39"/>
      <c r="E5" s="38"/>
      <c r="F5" s="38"/>
      <c r="G5" s="38"/>
      <c r="H5" s="38"/>
      <c r="I5" s="38"/>
      <c r="J5" s="38"/>
      <c r="K5" s="375" t="s">
        <v>568</v>
      </c>
      <c r="L5" s="375"/>
      <c r="M5" s="38"/>
      <c r="N5" s="448" t="s">
        <v>568</v>
      </c>
      <c r="O5" s="448"/>
      <c r="P5" s="448" t="s">
        <v>569</v>
      </c>
      <c r="Q5" s="448"/>
      <c r="R5" s="448" t="s">
        <v>570</v>
      </c>
      <c r="S5" s="448"/>
      <c r="T5" s="40" t="s">
        <v>571</v>
      </c>
    </row>
    <row r="6" spans="3:21" s="1" customFormat="1" ht="13" thickBot="1">
      <c r="D6" s="376" t="s">
        <v>572</v>
      </c>
      <c r="E6" s="388" t="s">
        <v>573</v>
      </c>
      <c r="F6" s="389"/>
      <c r="G6" s="389"/>
      <c r="H6" s="389"/>
      <c r="I6" s="389"/>
      <c r="J6" s="389"/>
      <c r="K6" s="8" t="s">
        <v>574</v>
      </c>
      <c r="L6" s="8" t="s">
        <v>575</v>
      </c>
      <c r="M6" s="8" t="s">
        <v>576</v>
      </c>
      <c r="N6" s="8" t="s">
        <v>577</v>
      </c>
      <c r="O6" s="8" t="s">
        <v>578</v>
      </c>
      <c r="P6" s="8" t="s">
        <v>577</v>
      </c>
      <c r="Q6" s="8" t="s">
        <v>578</v>
      </c>
      <c r="R6" s="8" t="s">
        <v>577</v>
      </c>
      <c r="S6" s="8" t="s">
        <v>578</v>
      </c>
      <c r="T6" s="390" t="s">
        <v>574</v>
      </c>
    </row>
    <row r="7" spans="3:21" ht="13" thickTop="1">
      <c r="D7" s="53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2"/>
    </row>
    <row r="8" spans="3:21">
      <c r="C8" s="77">
        <v>1</v>
      </c>
      <c r="D8" s="399" t="s">
        <v>579</v>
      </c>
      <c r="E8" s="400" t="s">
        <v>798</v>
      </c>
      <c r="F8" s="45"/>
      <c r="G8" s="45"/>
      <c r="H8" s="45"/>
      <c r="I8" s="45"/>
      <c r="J8" s="401"/>
      <c r="K8" s="43"/>
      <c r="L8" s="396">
        <v>302133.48181970936</v>
      </c>
      <c r="M8" s="54" t="s">
        <v>580</v>
      </c>
      <c r="N8" s="55">
        <f>IF($L8&gt;0,IF($M8="PROP",$L8,0),0)</f>
        <v>302133.48181970936</v>
      </c>
      <c r="O8" s="55">
        <f>IF($L8&lt;0,IF($M8="PROP",$L8,0),0)</f>
        <v>0</v>
      </c>
      <c r="P8" s="56">
        <f t="shared" ref="P8:P21" si="0">IF($L8&gt;0,IF($M8="ACC",$L8,0),0)</f>
        <v>0</v>
      </c>
      <c r="Q8" s="56">
        <f>O8</f>
        <v>0</v>
      </c>
      <c r="R8" s="370">
        <f>IF($L8&gt;0,IF($M8="REJ",$L8,0),0)</f>
        <v>0</v>
      </c>
      <c r="S8" s="370">
        <f>IF($L8&lt;0,IF($M8="REJ",$L8,0),0)</f>
        <v>0</v>
      </c>
      <c r="T8" s="44"/>
    </row>
    <row r="9" spans="3:21">
      <c r="C9" s="77">
        <v>2</v>
      </c>
      <c r="D9" s="399" t="s">
        <v>581</v>
      </c>
      <c r="E9" s="400" t="s">
        <v>799</v>
      </c>
      <c r="F9" s="45"/>
      <c r="G9" s="45"/>
      <c r="H9" s="45"/>
      <c r="I9" s="45"/>
      <c r="J9" s="401"/>
      <c r="K9" s="43"/>
      <c r="L9" s="396">
        <v>346816.49899988208</v>
      </c>
      <c r="M9" s="54" t="s">
        <v>580</v>
      </c>
      <c r="N9" s="55">
        <f>IF($L9&gt;0,IF($M9="PROP",$L9,0),0)</f>
        <v>346816.49899988208</v>
      </c>
      <c r="O9" s="55">
        <f>IF($L9&lt;0,IF($M9="PROP",$L9,0),0)</f>
        <v>0</v>
      </c>
      <c r="P9" s="56">
        <f t="shared" si="0"/>
        <v>0</v>
      </c>
      <c r="Q9" s="56">
        <f t="shared" ref="Q9:Q21" si="1">IF($L9&lt;0,IF($M9="ACC",$L9,0),0)</f>
        <v>0</v>
      </c>
      <c r="R9" s="370">
        <f>IF($L9&gt;0,IF($M9="REJ",$L9,0),0)</f>
        <v>0</v>
      </c>
      <c r="S9" s="370">
        <f>IF($L9&lt;0,IF($M9="REJ",$L9,0),0)</f>
        <v>0</v>
      </c>
      <c r="T9" s="44"/>
    </row>
    <row r="10" spans="3:21">
      <c r="C10" s="77">
        <v>3</v>
      </c>
      <c r="D10" s="399" t="s">
        <v>582</v>
      </c>
      <c r="E10" s="400" t="s">
        <v>869</v>
      </c>
      <c r="F10" s="45"/>
      <c r="G10" s="45"/>
      <c r="H10" s="45"/>
      <c r="I10" s="45"/>
      <c r="J10" s="401"/>
      <c r="K10" s="43"/>
      <c r="L10" s="396">
        <v>0</v>
      </c>
      <c r="M10" s="54" t="s">
        <v>580</v>
      </c>
      <c r="N10" s="55">
        <f t="shared" ref="N10:N20" si="2">IF($L10&gt;0,IF($M10="PROP",$L10,0),0)</f>
        <v>0</v>
      </c>
      <c r="O10" s="55">
        <f t="shared" ref="O10:O20" si="3">IF($L10&lt;0,IF($M10="PROP",$L10,0),0)</f>
        <v>0</v>
      </c>
      <c r="P10" s="56">
        <f t="shared" si="0"/>
        <v>0</v>
      </c>
      <c r="Q10" s="56">
        <f t="shared" si="1"/>
        <v>0</v>
      </c>
      <c r="R10" s="370">
        <f t="shared" ref="R10:R20" si="4">IF($L10&gt;0,IF($M10="REJ",$L10,0),0)</f>
        <v>0</v>
      </c>
      <c r="S10" s="370">
        <f t="shared" ref="S10:S20" si="5">IF($L10&lt;0,IF($M10="REJ",$L10,0),0)</f>
        <v>0</v>
      </c>
      <c r="T10" s="44"/>
      <c r="U10" s="9"/>
    </row>
    <row r="11" spans="3:21">
      <c r="C11" s="77">
        <v>4</v>
      </c>
      <c r="D11" s="399" t="s">
        <v>583</v>
      </c>
      <c r="E11" s="400" t="s">
        <v>835</v>
      </c>
      <c r="F11" s="45"/>
      <c r="G11" s="45"/>
      <c r="H11" s="45"/>
      <c r="I11" s="45"/>
      <c r="J11" s="401"/>
      <c r="K11" s="43"/>
      <c r="L11" s="396">
        <v>33125.893309363535</v>
      </c>
      <c r="M11" s="54" t="s">
        <v>580</v>
      </c>
      <c r="N11" s="55">
        <f t="shared" si="2"/>
        <v>33125.893309363535</v>
      </c>
      <c r="O11" s="55">
        <f t="shared" si="3"/>
        <v>0</v>
      </c>
      <c r="P11" s="56">
        <f t="shared" si="0"/>
        <v>0</v>
      </c>
      <c r="Q11" s="56">
        <f t="shared" si="1"/>
        <v>0</v>
      </c>
      <c r="R11" s="370">
        <f t="shared" si="4"/>
        <v>0</v>
      </c>
      <c r="S11" s="370">
        <f t="shared" si="5"/>
        <v>0</v>
      </c>
      <c r="T11" s="44"/>
    </row>
    <row r="12" spans="3:21">
      <c r="C12" s="77">
        <v>5</v>
      </c>
      <c r="D12" s="399" t="s">
        <v>584</v>
      </c>
      <c r="E12" s="400" t="s">
        <v>836</v>
      </c>
      <c r="F12" s="45"/>
      <c r="G12" s="45"/>
      <c r="H12" s="45"/>
      <c r="I12" s="45"/>
      <c r="J12" s="401"/>
      <c r="K12" s="43"/>
      <c r="L12" s="396">
        <v>187716.40553681116</v>
      </c>
      <c r="M12" s="54" t="s">
        <v>580</v>
      </c>
      <c r="N12" s="55">
        <f t="shared" si="2"/>
        <v>187716.40553681116</v>
      </c>
      <c r="O12" s="55">
        <f t="shared" si="3"/>
        <v>0</v>
      </c>
      <c r="P12" s="56">
        <f t="shared" si="0"/>
        <v>0</v>
      </c>
      <c r="Q12" s="56">
        <f t="shared" si="1"/>
        <v>0</v>
      </c>
      <c r="R12" s="370">
        <f t="shared" si="4"/>
        <v>0</v>
      </c>
      <c r="S12" s="370">
        <f t="shared" si="5"/>
        <v>0</v>
      </c>
      <c r="T12" s="44"/>
    </row>
    <row r="13" spans="3:21">
      <c r="C13" s="77">
        <v>6</v>
      </c>
      <c r="D13" s="399" t="s">
        <v>585</v>
      </c>
      <c r="E13" s="400" t="s">
        <v>839</v>
      </c>
      <c r="F13" s="395"/>
      <c r="G13" s="45"/>
      <c r="H13" s="45"/>
      <c r="I13" s="45"/>
      <c r="J13" s="401"/>
      <c r="K13" s="43"/>
      <c r="L13" s="396">
        <v>49679.54882748297</v>
      </c>
      <c r="M13" s="54" t="s">
        <v>580</v>
      </c>
      <c r="N13" s="55">
        <f t="shared" si="2"/>
        <v>49679.54882748297</v>
      </c>
      <c r="O13" s="55">
        <f t="shared" si="3"/>
        <v>0</v>
      </c>
      <c r="P13" s="56">
        <f t="shared" si="0"/>
        <v>0</v>
      </c>
      <c r="Q13" s="56">
        <f t="shared" si="1"/>
        <v>0</v>
      </c>
      <c r="R13" s="370">
        <f t="shared" si="4"/>
        <v>0</v>
      </c>
      <c r="S13" s="370">
        <f t="shared" si="5"/>
        <v>0</v>
      </c>
      <c r="T13" s="44"/>
    </row>
    <row r="14" spans="3:21">
      <c r="C14" s="77">
        <v>7</v>
      </c>
      <c r="D14" s="399" t="s">
        <v>586</v>
      </c>
      <c r="E14" s="400" t="s">
        <v>842</v>
      </c>
      <c r="F14" s="45"/>
      <c r="G14" s="45"/>
      <c r="H14" s="45"/>
      <c r="I14" s="45"/>
      <c r="J14" s="401"/>
      <c r="K14" s="43"/>
      <c r="L14" s="396">
        <v>165573.71972744368</v>
      </c>
      <c r="M14" s="54" t="s">
        <v>580</v>
      </c>
      <c r="N14" s="55">
        <f t="shared" si="2"/>
        <v>165573.71972744368</v>
      </c>
      <c r="O14" s="55">
        <f t="shared" si="3"/>
        <v>0</v>
      </c>
      <c r="P14" s="56">
        <f t="shared" si="0"/>
        <v>0</v>
      </c>
      <c r="Q14" s="56">
        <f t="shared" si="1"/>
        <v>0</v>
      </c>
      <c r="R14" s="370">
        <f t="shared" si="4"/>
        <v>0</v>
      </c>
      <c r="S14" s="370">
        <f t="shared" si="5"/>
        <v>0</v>
      </c>
      <c r="T14" s="44"/>
      <c r="U14" s="9"/>
    </row>
    <row r="15" spans="3:21">
      <c r="C15" s="77">
        <v>8</v>
      </c>
      <c r="D15" s="399" t="s">
        <v>587</v>
      </c>
      <c r="E15" s="400" t="s">
        <v>686</v>
      </c>
      <c r="F15" s="45"/>
      <c r="G15" s="45"/>
      <c r="H15" s="45"/>
      <c r="I15" s="45"/>
      <c r="J15" s="401"/>
      <c r="K15" s="43"/>
      <c r="L15" s="396">
        <v>51113.160464982313</v>
      </c>
      <c r="M15" s="54" t="s">
        <v>580</v>
      </c>
      <c r="N15" s="55">
        <f t="shared" si="2"/>
        <v>51113.160464982313</v>
      </c>
      <c r="O15" s="55">
        <f t="shared" si="3"/>
        <v>0</v>
      </c>
      <c r="P15" s="56">
        <f t="shared" si="0"/>
        <v>0</v>
      </c>
      <c r="Q15" s="56">
        <f t="shared" si="1"/>
        <v>0</v>
      </c>
      <c r="R15" s="370">
        <f t="shared" si="4"/>
        <v>0</v>
      </c>
      <c r="S15" s="370">
        <f t="shared" si="5"/>
        <v>0</v>
      </c>
      <c r="T15" s="44"/>
      <c r="U15" s="9"/>
    </row>
    <row r="16" spans="3:21">
      <c r="C16" s="77">
        <v>9</v>
      </c>
      <c r="D16" s="399" t="s">
        <v>588</v>
      </c>
      <c r="E16" s="400" t="s">
        <v>843</v>
      </c>
      <c r="F16" s="45"/>
      <c r="G16" s="45"/>
      <c r="H16" s="45"/>
      <c r="I16" s="45"/>
      <c r="J16" s="401"/>
      <c r="K16" s="43"/>
      <c r="L16" s="396">
        <v>-159097.54186124998</v>
      </c>
      <c r="M16" s="54" t="s">
        <v>580</v>
      </c>
      <c r="N16" s="55">
        <f t="shared" si="2"/>
        <v>0</v>
      </c>
      <c r="O16" s="55">
        <f t="shared" si="3"/>
        <v>-159097.54186124998</v>
      </c>
      <c r="P16" s="56">
        <f t="shared" si="0"/>
        <v>0</v>
      </c>
      <c r="Q16" s="56">
        <f t="shared" si="1"/>
        <v>0</v>
      </c>
      <c r="R16" s="370">
        <f t="shared" si="4"/>
        <v>0</v>
      </c>
      <c r="S16" s="370">
        <f t="shared" si="5"/>
        <v>0</v>
      </c>
      <c r="T16" s="44"/>
      <c r="U16" s="9"/>
    </row>
    <row r="17" spans="3:22">
      <c r="C17" s="77">
        <v>10</v>
      </c>
      <c r="D17" s="399" t="s">
        <v>589</v>
      </c>
      <c r="E17" s="400" t="s">
        <v>844</v>
      </c>
      <c r="F17" s="45"/>
      <c r="G17" s="45"/>
      <c r="H17" s="45"/>
      <c r="I17" s="45"/>
      <c r="J17" s="401"/>
      <c r="K17" s="43"/>
      <c r="L17" s="396">
        <v>230651.6988186714</v>
      </c>
      <c r="M17" s="54" t="s">
        <v>580</v>
      </c>
      <c r="N17" s="55">
        <f t="shared" si="2"/>
        <v>230651.6988186714</v>
      </c>
      <c r="O17" s="55">
        <f t="shared" si="3"/>
        <v>0</v>
      </c>
      <c r="P17" s="56">
        <f t="shared" si="0"/>
        <v>0</v>
      </c>
      <c r="Q17" s="56">
        <f t="shared" si="1"/>
        <v>0</v>
      </c>
      <c r="R17" s="370">
        <f t="shared" si="4"/>
        <v>0</v>
      </c>
      <c r="S17" s="370">
        <f t="shared" si="5"/>
        <v>0</v>
      </c>
      <c r="T17" s="44"/>
      <c r="U17" s="9"/>
    </row>
    <row r="18" spans="3:22">
      <c r="C18" s="77">
        <v>11</v>
      </c>
      <c r="D18" s="399" t="s">
        <v>590</v>
      </c>
      <c r="E18" s="400" t="s">
        <v>849</v>
      </c>
      <c r="F18" s="45"/>
      <c r="G18" s="45"/>
      <c r="H18" s="45"/>
      <c r="I18" s="45"/>
      <c r="J18" s="401"/>
      <c r="K18" s="43"/>
      <c r="L18" s="396">
        <v>273013.42321573466</v>
      </c>
      <c r="M18" s="54" t="s">
        <v>580</v>
      </c>
      <c r="N18" s="55">
        <f t="shared" si="2"/>
        <v>273013.42321573466</v>
      </c>
      <c r="O18" s="55">
        <f t="shared" si="3"/>
        <v>0</v>
      </c>
      <c r="P18" s="56">
        <f t="shared" si="0"/>
        <v>0</v>
      </c>
      <c r="Q18" s="56">
        <f t="shared" si="1"/>
        <v>0</v>
      </c>
      <c r="R18" s="370">
        <f t="shared" si="4"/>
        <v>0</v>
      </c>
      <c r="S18" s="370">
        <f t="shared" si="5"/>
        <v>0</v>
      </c>
      <c r="T18" s="44"/>
      <c r="U18" s="9"/>
    </row>
    <row r="19" spans="3:22">
      <c r="C19" s="77">
        <v>12</v>
      </c>
      <c r="D19" s="399" t="s">
        <v>353</v>
      </c>
      <c r="E19" s="400" t="s">
        <v>850</v>
      </c>
      <c r="F19" s="45"/>
      <c r="G19" s="45"/>
      <c r="H19" s="45"/>
      <c r="I19" s="45"/>
      <c r="J19" s="401"/>
      <c r="K19" s="43"/>
      <c r="L19" s="396">
        <v>282904.10030600376</v>
      </c>
      <c r="M19" s="54" t="s">
        <v>580</v>
      </c>
      <c r="N19" s="55">
        <f t="shared" si="2"/>
        <v>282904.10030600376</v>
      </c>
      <c r="O19" s="55">
        <f t="shared" si="3"/>
        <v>0</v>
      </c>
      <c r="P19" s="56">
        <f t="shared" si="0"/>
        <v>0</v>
      </c>
      <c r="Q19" s="56">
        <f t="shared" si="1"/>
        <v>0</v>
      </c>
      <c r="R19" s="370">
        <f t="shared" si="4"/>
        <v>0</v>
      </c>
      <c r="S19" s="370">
        <f t="shared" si="5"/>
        <v>0</v>
      </c>
      <c r="T19" s="44"/>
    </row>
    <row r="20" spans="3:22">
      <c r="C20" s="77">
        <v>13</v>
      </c>
      <c r="D20" s="399" t="s">
        <v>591</v>
      </c>
      <c r="E20" s="400" t="s">
        <v>856</v>
      </c>
      <c r="F20" s="45"/>
      <c r="G20" s="45"/>
      <c r="H20" s="45"/>
      <c r="I20" s="45"/>
      <c r="J20" s="401"/>
      <c r="K20" s="43"/>
      <c r="L20" s="396">
        <v>129163.11049683079</v>
      </c>
      <c r="M20" s="54" t="s">
        <v>580</v>
      </c>
      <c r="N20" s="55">
        <f t="shared" si="2"/>
        <v>129163.11049683079</v>
      </c>
      <c r="O20" s="55">
        <f t="shared" si="3"/>
        <v>0</v>
      </c>
      <c r="P20" s="56">
        <f t="shared" si="0"/>
        <v>0</v>
      </c>
      <c r="Q20" s="56">
        <f t="shared" si="1"/>
        <v>0</v>
      </c>
      <c r="R20" s="370">
        <f t="shared" si="4"/>
        <v>0</v>
      </c>
      <c r="S20" s="370">
        <f t="shared" si="5"/>
        <v>0</v>
      </c>
      <c r="T20" s="44"/>
      <c r="U20" s="9"/>
    </row>
    <row r="21" spans="3:22">
      <c r="C21" s="77">
        <v>14</v>
      </c>
      <c r="D21" s="399" t="s">
        <v>155</v>
      </c>
      <c r="E21" s="400" t="s">
        <v>869</v>
      </c>
      <c r="F21" s="45"/>
      <c r="G21" s="45"/>
      <c r="H21" s="45"/>
      <c r="I21" s="45"/>
      <c r="J21" s="401"/>
      <c r="K21" s="43"/>
      <c r="L21" s="396">
        <v>0</v>
      </c>
      <c r="M21" s="54" t="s">
        <v>580</v>
      </c>
      <c r="N21" s="55">
        <f t="shared" ref="N21:N28" si="6">IF($L21&gt;0,IF($M21="PROP",$L21,0),0)</f>
        <v>0</v>
      </c>
      <c r="O21" s="55">
        <f t="shared" ref="O21:O28" si="7">IF($L21&lt;0,IF($M21="PROP",$L21,0),0)</f>
        <v>0</v>
      </c>
      <c r="P21" s="56">
        <f t="shared" si="0"/>
        <v>0</v>
      </c>
      <c r="Q21" s="56">
        <f t="shared" si="1"/>
        <v>0</v>
      </c>
      <c r="R21" s="370">
        <f t="shared" ref="R21:R28" si="8">IF($L21&gt;0,IF($M21="REJ",$L21,0),0)</f>
        <v>0</v>
      </c>
      <c r="S21" s="370">
        <f t="shared" ref="S21:S28" si="9">IF($L21&lt;0,IF($M21="REJ",$L21,0),0)</f>
        <v>0</v>
      </c>
      <c r="T21" s="44"/>
    </row>
    <row r="22" spans="3:22">
      <c r="C22" s="77">
        <v>15</v>
      </c>
      <c r="D22" s="399" t="s">
        <v>592</v>
      </c>
      <c r="E22" s="400" t="s">
        <v>853</v>
      </c>
      <c r="F22" s="66"/>
      <c r="G22" s="66"/>
      <c r="H22" s="66"/>
      <c r="I22" s="66"/>
      <c r="J22" s="402"/>
      <c r="K22" s="397"/>
      <c r="L22" s="403">
        <v>120804.28347183407</v>
      </c>
      <c r="M22" s="54" t="s">
        <v>580</v>
      </c>
      <c r="N22" s="55">
        <f t="shared" si="6"/>
        <v>120804.28347183407</v>
      </c>
      <c r="O22" s="55">
        <f t="shared" si="7"/>
        <v>0</v>
      </c>
      <c r="P22" s="56">
        <f t="shared" ref="P22:P28" si="10">IF($L22&gt;0,IF($M22="ACC",$L22,0),0)</f>
        <v>0</v>
      </c>
      <c r="Q22" s="56">
        <f t="shared" ref="Q22:Q28" si="11">IF($L22&lt;0,IF($M22="ACC",$L22,0),0)</f>
        <v>0</v>
      </c>
      <c r="R22" s="370">
        <f t="shared" si="8"/>
        <v>0</v>
      </c>
      <c r="S22" s="370">
        <f t="shared" si="9"/>
        <v>0</v>
      </c>
      <c r="T22" s="44"/>
    </row>
    <row r="23" spans="3:22">
      <c r="C23" s="77">
        <v>16</v>
      </c>
      <c r="D23" s="399" t="s">
        <v>593</v>
      </c>
      <c r="E23" s="400" t="s">
        <v>854</v>
      </c>
      <c r="F23" s="45"/>
      <c r="G23" s="45"/>
      <c r="H23" s="45"/>
      <c r="I23" s="45"/>
      <c r="J23" s="401"/>
      <c r="K23" s="43"/>
      <c r="L23" s="396">
        <v>-30360.275287749999</v>
      </c>
      <c r="M23" s="54" t="s">
        <v>580</v>
      </c>
      <c r="N23" s="55">
        <f t="shared" si="6"/>
        <v>0</v>
      </c>
      <c r="O23" s="55">
        <f t="shared" si="7"/>
        <v>-30360.275287749999</v>
      </c>
      <c r="P23" s="56">
        <f t="shared" si="10"/>
        <v>0</v>
      </c>
      <c r="Q23" s="56">
        <f t="shared" si="11"/>
        <v>0</v>
      </c>
      <c r="R23" s="370">
        <f t="shared" si="8"/>
        <v>0</v>
      </c>
      <c r="S23" s="370">
        <f t="shared" si="9"/>
        <v>0</v>
      </c>
      <c r="T23" s="44"/>
    </row>
    <row r="24" spans="3:22">
      <c r="C24" s="77">
        <v>17</v>
      </c>
      <c r="D24" s="399" t="s">
        <v>594</v>
      </c>
      <c r="E24" s="400" t="s">
        <v>860</v>
      </c>
      <c r="F24" s="45"/>
      <c r="G24" s="45"/>
      <c r="H24" s="45"/>
      <c r="I24" s="45"/>
      <c r="J24" s="401"/>
      <c r="K24" s="43"/>
      <c r="L24" s="396">
        <v>-52123.199568749995</v>
      </c>
      <c r="M24" s="54" t="s">
        <v>580</v>
      </c>
      <c r="N24" s="55">
        <f t="shared" si="6"/>
        <v>0</v>
      </c>
      <c r="O24" s="55">
        <f t="shared" si="7"/>
        <v>-52123.199568749995</v>
      </c>
      <c r="P24" s="56">
        <f t="shared" si="10"/>
        <v>0</v>
      </c>
      <c r="Q24" s="56">
        <f t="shared" si="11"/>
        <v>0</v>
      </c>
      <c r="R24" s="370">
        <f t="shared" si="8"/>
        <v>0</v>
      </c>
      <c r="S24" s="370">
        <f t="shared" si="9"/>
        <v>0</v>
      </c>
      <c r="T24" s="44"/>
    </row>
    <row r="25" spans="3:22">
      <c r="C25" s="77">
        <v>18</v>
      </c>
      <c r="D25" s="399" t="s">
        <v>595</v>
      </c>
      <c r="E25" s="400"/>
      <c r="F25" s="395"/>
      <c r="G25" s="395"/>
      <c r="H25" s="395"/>
      <c r="I25" s="395"/>
      <c r="J25" s="401"/>
      <c r="K25" s="43"/>
      <c r="L25" s="396">
        <f>N587</f>
        <v>0</v>
      </c>
      <c r="M25" s="54" t="s">
        <v>580</v>
      </c>
      <c r="N25" s="55">
        <f t="shared" si="6"/>
        <v>0</v>
      </c>
      <c r="O25" s="55">
        <f t="shared" si="7"/>
        <v>0</v>
      </c>
      <c r="P25" s="56">
        <f t="shared" si="10"/>
        <v>0</v>
      </c>
      <c r="Q25" s="56">
        <f t="shared" si="11"/>
        <v>0</v>
      </c>
      <c r="R25" s="370">
        <f t="shared" si="8"/>
        <v>0</v>
      </c>
      <c r="S25" s="370">
        <f t="shared" si="9"/>
        <v>0</v>
      </c>
      <c r="T25" s="44"/>
      <c r="V25" s="9"/>
    </row>
    <row r="26" spans="3:22">
      <c r="C26" s="77">
        <v>19</v>
      </c>
      <c r="D26" s="399" t="s">
        <v>596</v>
      </c>
      <c r="E26" s="400"/>
      <c r="F26" s="45"/>
      <c r="G26" s="45"/>
      <c r="H26" s="45"/>
      <c r="I26" s="45"/>
      <c r="J26" s="401"/>
      <c r="K26" s="43"/>
      <c r="L26" s="396">
        <f>N616</f>
        <v>0</v>
      </c>
      <c r="M26" s="54" t="s">
        <v>580</v>
      </c>
      <c r="N26" s="55">
        <f t="shared" si="6"/>
        <v>0</v>
      </c>
      <c r="O26" s="55">
        <f t="shared" si="7"/>
        <v>0</v>
      </c>
      <c r="P26" s="56">
        <f t="shared" si="10"/>
        <v>0</v>
      </c>
      <c r="Q26" s="56">
        <f t="shared" si="11"/>
        <v>0</v>
      </c>
      <c r="R26" s="370">
        <f t="shared" si="8"/>
        <v>0</v>
      </c>
      <c r="S26" s="370">
        <f t="shared" si="9"/>
        <v>0</v>
      </c>
      <c r="T26" s="44"/>
    </row>
    <row r="27" spans="3:22">
      <c r="C27" s="77">
        <v>20</v>
      </c>
      <c r="D27" s="399" t="s">
        <v>597</v>
      </c>
      <c r="E27" s="400"/>
      <c r="F27" s="45"/>
      <c r="G27" s="45"/>
      <c r="H27" s="45"/>
      <c r="I27" s="45"/>
      <c r="J27" s="401"/>
      <c r="K27" s="43"/>
      <c r="L27" s="396">
        <f>N645</f>
        <v>0</v>
      </c>
      <c r="M27" s="54" t="s">
        <v>580</v>
      </c>
      <c r="N27" s="55">
        <f t="shared" si="6"/>
        <v>0</v>
      </c>
      <c r="O27" s="55">
        <f t="shared" si="7"/>
        <v>0</v>
      </c>
      <c r="P27" s="56">
        <f t="shared" si="10"/>
        <v>0</v>
      </c>
      <c r="Q27" s="56">
        <f t="shared" si="11"/>
        <v>0</v>
      </c>
      <c r="R27" s="370">
        <f t="shared" si="8"/>
        <v>0</v>
      </c>
      <c r="S27" s="370">
        <f t="shared" si="9"/>
        <v>0</v>
      </c>
      <c r="T27" s="44"/>
    </row>
    <row r="28" spans="3:22">
      <c r="C28" s="77">
        <v>21</v>
      </c>
      <c r="D28" s="399" t="s">
        <v>598</v>
      </c>
      <c r="E28" s="400"/>
      <c r="F28" s="45"/>
      <c r="G28" s="45"/>
      <c r="H28" s="45"/>
      <c r="I28" s="45"/>
      <c r="J28" s="401"/>
      <c r="K28" s="43"/>
      <c r="L28" s="396">
        <f>N674</f>
        <v>0</v>
      </c>
      <c r="M28" s="54" t="s">
        <v>580</v>
      </c>
      <c r="N28" s="55">
        <f t="shared" si="6"/>
        <v>0</v>
      </c>
      <c r="O28" s="55">
        <f t="shared" si="7"/>
        <v>0</v>
      </c>
      <c r="P28" s="56">
        <f t="shared" si="10"/>
        <v>0</v>
      </c>
      <c r="Q28" s="56">
        <f t="shared" si="11"/>
        <v>0</v>
      </c>
      <c r="R28" s="370">
        <f t="shared" si="8"/>
        <v>0</v>
      </c>
      <c r="S28" s="370">
        <f t="shared" si="9"/>
        <v>0</v>
      </c>
      <c r="T28" s="44"/>
    </row>
    <row r="29" spans="3:22" ht="13" thickBot="1">
      <c r="D29" s="391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3"/>
    </row>
    <row r="30" spans="3:22" ht="13.5" thickTop="1" thickBot="1">
      <c r="D30" s="377"/>
      <c r="E30" s="378"/>
      <c r="F30" s="379"/>
      <c r="G30" s="379"/>
      <c r="H30" s="379"/>
      <c r="I30" s="379"/>
      <c r="J30" s="380"/>
      <c r="K30" s="381"/>
      <c r="L30" s="382"/>
      <c r="M30" s="383"/>
      <c r="N30" s="384">
        <f t="shared" ref="N30:S30" si="12">SUM(N7:N29)</f>
        <v>2172695.3249947499</v>
      </c>
      <c r="O30" s="384">
        <f t="shared" si="12"/>
        <v>-241581.01671774997</v>
      </c>
      <c r="P30" s="385">
        <f t="shared" si="12"/>
        <v>0</v>
      </c>
      <c r="Q30" s="385">
        <f t="shared" si="12"/>
        <v>0</v>
      </c>
      <c r="R30" s="386">
        <f t="shared" si="12"/>
        <v>0</v>
      </c>
      <c r="S30" s="386">
        <f t="shared" si="12"/>
        <v>0</v>
      </c>
      <c r="T30" s="387"/>
    </row>
    <row r="31" spans="3:22" ht="13" thickTop="1"/>
    <row r="35" spans="4:20" ht="13" thickBot="1"/>
    <row r="36" spans="4:20" ht="13.5" thickTop="1" thickBot="1"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</row>
    <row r="37" spans="4:20" ht="13" thickTop="1"/>
    <row r="38" spans="4:20" ht="13">
      <c r="D38" s="52" t="s">
        <v>599</v>
      </c>
    </row>
    <row r="39" spans="4:20" ht="13" thickBot="1"/>
    <row r="40" spans="4:20" ht="13" thickTop="1">
      <c r="D40" s="59" t="s">
        <v>572</v>
      </c>
      <c r="E40" s="60" t="s">
        <v>573</v>
      </c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2"/>
    </row>
    <row r="41" spans="4:20">
      <c r="D41" s="63" t="str">
        <f>D8</f>
        <v>A</v>
      </c>
      <c r="E41" t="str">
        <f>E8</f>
        <v>Additional Paving</v>
      </c>
      <c r="T41" s="64"/>
    </row>
    <row r="42" spans="4:20">
      <c r="D42" s="65"/>
      <c r="E42" s="66" t="s">
        <v>600</v>
      </c>
      <c r="F42" s="66" t="s">
        <v>601</v>
      </c>
      <c r="G42" s="45"/>
      <c r="H42" s="45"/>
      <c r="I42" s="45"/>
      <c r="J42" s="45"/>
      <c r="K42" s="374" t="s">
        <v>602</v>
      </c>
      <c r="L42" s="374" t="s">
        <v>603</v>
      </c>
      <c r="M42" s="374" t="s">
        <v>604</v>
      </c>
      <c r="N42" s="444" t="s">
        <v>605</v>
      </c>
      <c r="O42" s="444"/>
      <c r="P42" s="444" t="s">
        <v>606</v>
      </c>
      <c r="Q42" s="444"/>
      <c r="R42" s="444"/>
      <c r="S42" s="444"/>
      <c r="T42" s="445"/>
    </row>
    <row r="43" spans="4:20">
      <c r="D43" s="63"/>
      <c r="M43" s="67"/>
      <c r="N43" s="446">
        <f t="shared" ref="N43" si="13">K43*M43</f>
        <v>0</v>
      </c>
      <c r="O43" s="446"/>
      <c r="P43" s="446"/>
      <c r="Q43" s="446"/>
      <c r="R43" s="446"/>
      <c r="S43" s="446"/>
      <c r="T43" s="447"/>
    </row>
    <row r="44" spans="4:20">
      <c r="D44" s="63"/>
      <c r="K44" s="411"/>
      <c r="L44" s="9"/>
      <c r="M44" s="67"/>
      <c r="N44" s="432">
        <f>K44*M44</f>
        <v>0</v>
      </c>
      <c r="O44" s="432"/>
      <c r="P44" s="433"/>
      <c r="Q44" s="433"/>
      <c r="R44" s="433"/>
      <c r="S44" s="433"/>
      <c r="T44" s="434"/>
    </row>
    <row r="45" spans="4:20">
      <c r="D45" s="63"/>
      <c r="E45" t="s">
        <v>826</v>
      </c>
      <c r="K45" s="411">
        <f>K47</f>
        <v>28770</v>
      </c>
      <c r="L45" s="9" t="s">
        <v>5</v>
      </c>
      <c r="M45" s="67">
        <v>0.35</v>
      </c>
      <c r="N45" s="432">
        <f t="shared" ref="N45:N52" si="14">K45*M45</f>
        <v>10069.5</v>
      </c>
      <c r="O45" s="432"/>
      <c r="P45" s="433"/>
      <c r="Q45" s="433"/>
      <c r="R45" s="433"/>
      <c r="S45" s="433"/>
      <c r="T45" s="434"/>
    </row>
    <row r="46" spans="4:20">
      <c r="D46" s="63"/>
      <c r="E46" t="s">
        <v>825</v>
      </c>
      <c r="K46" s="411">
        <f>K45/9</f>
        <v>3196.6666666666665</v>
      </c>
      <c r="L46" s="9" t="s">
        <v>202</v>
      </c>
      <c r="M46" s="67">
        <v>7.5</v>
      </c>
      <c r="N46" s="432">
        <f t="shared" si="14"/>
        <v>23975</v>
      </c>
      <c r="O46" s="432"/>
      <c r="P46" s="433"/>
      <c r="Q46" s="433"/>
      <c r="R46" s="433"/>
      <c r="S46" s="433"/>
      <c r="T46" s="434"/>
    </row>
    <row r="47" spans="4:20">
      <c r="D47" s="63"/>
      <c r="E47" s="9" t="s">
        <v>330</v>
      </c>
      <c r="K47" s="411">
        <v>28770</v>
      </c>
      <c r="L47" s="9" t="s">
        <v>5</v>
      </c>
      <c r="M47" s="67">
        <v>6</v>
      </c>
      <c r="N47" s="432">
        <f t="shared" si="14"/>
        <v>172620</v>
      </c>
      <c r="O47" s="432"/>
      <c r="P47" s="433"/>
      <c r="Q47" s="433"/>
      <c r="R47" s="433"/>
      <c r="S47" s="433"/>
      <c r="T47" s="434"/>
    </row>
    <row r="48" spans="4:20">
      <c r="D48" s="63"/>
      <c r="E48" s="9" t="s">
        <v>827</v>
      </c>
      <c r="K48" s="411">
        <f>K47</f>
        <v>28770</v>
      </c>
      <c r="L48" s="9" t="s">
        <v>5</v>
      </c>
      <c r="M48" s="67">
        <v>0.2</v>
      </c>
      <c r="N48" s="432">
        <f t="shared" si="14"/>
        <v>5754</v>
      </c>
      <c r="O48" s="432"/>
      <c r="P48" s="433"/>
      <c r="Q48" s="433"/>
      <c r="R48" s="433"/>
      <c r="S48" s="433"/>
      <c r="T48" s="434"/>
    </row>
    <row r="49" spans="4:20">
      <c r="D49" s="63"/>
      <c r="E49" s="9" t="s">
        <v>309</v>
      </c>
      <c r="K49" s="411">
        <f>K48</f>
        <v>28770</v>
      </c>
      <c r="L49" s="9" t="s">
        <v>5</v>
      </c>
      <c r="M49" s="67">
        <v>0.1</v>
      </c>
      <c r="N49" s="432">
        <f t="shared" si="14"/>
        <v>2877</v>
      </c>
      <c r="O49" s="432"/>
      <c r="P49" s="433"/>
      <c r="Q49" s="433"/>
      <c r="R49" s="433"/>
      <c r="S49" s="433"/>
      <c r="T49" s="434"/>
    </row>
    <row r="50" spans="4:20">
      <c r="D50" s="63"/>
      <c r="E50" s="9" t="s">
        <v>339</v>
      </c>
      <c r="K50">
        <v>8</v>
      </c>
      <c r="L50" s="9" t="s">
        <v>162</v>
      </c>
      <c r="M50" s="67">
        <v>1300</v>
      </c>
      <c r="N50" s="432">
        <f t="shared" si="14"/>
        <v>10400</v>
      </c>
      <c r="O50" s="432"/>
      <c r="P50" s="433"/>
      <c r="Q50" s="433"/>
      <c r="R50" s="433"/>
      <c r="S50" s="433"/>
      <c r="T50" s="434"/>
    </row>
    <row r="51" spans="4:20">
      <c r="D51" s="63"/>
      <c r="E51" s="9" t="s">
        <v>828</v>
      </c>
      <c r="K51">
        <v>8</v>
      </c>
      <c r="L51" s="9" t="s">
        <v>162</v>
      </c>
      <c r="M51" s="67">
        <v>6000</v>
      </c>
      <c r="N51" s="432">
        <f t="shared" si="14"/>
        <v>48000</v>
      </c>
      <c r="O51" s="432"/>
      <c r="P51" s="433"/>
      <c r="Q51" s="433"/>
      <c r="R51" s="433"/>
      <c r="S51" s="433"/>
      <c r="T51" s="434"/>
    </row>
    <row r="52" spans="4:20">
      <c r="D52" s="63"/>
      <c r="E52" s="9"/>
      <c r="L52" s="9"/>
      <c r="M52" s="67"/>
      <c r="N52" s="432">
        <f t="shared" si="14"/>
        <v>0</v>
      </c>
      <c r="O52" s="432"/>
      <c r="P52" s="433"/>
      <c r="Q52" s="433"/>
      <c r="R52" s="433"/>
      <c r="S52" s="433"/>
      <c r="T52" s="434"/>
    </row>
    <row r="53" spans="4:20">
      <c r="D53" s="63"/>
      <c r="E53" s="9"/>
      <c r="L53" s="9"/>
      <c r="M53" s="67"/>
      <c r="N53" s="432">
        <f>K53*M53</f>
        <v>0</v>
      </c>
      <c r="O53" s="432"/>
      <c r="P53" s="433"/>
      <c r="Q53" s="433"/>
      <c r="R53" s="433"/>
      <c r="S53" s="433"/>
      <c r="T53" s="434"/>
    </row>
    <row r="54" spans="4:20" ht="13" thickBot="1">
      <c r="D54" s="63"/>
      <c r="M54" s="67"/>
      <c r="N54" s="442">
        <f t="shared" ref="N54" si="15">K54*M54</f>
        <v>0</v>
      </c>
      <c r="O54" s="442"/>
      <c r="P54" s="442"/>
      <c r="Q54" s="442"/>
      <c r="R54" s="442"/>
      <c r="S54" s="442"/>
      <c r="T54" s="443"/>
    </row>
    <row r="55" spans="4:20" ht="13.5" thickBot="1">
      <c r="D55" s="68"/>
      <c r="E55" s="69" t="s">
        <v>607</v>
      </c>
      <c r="F55" s="69"/>
      <c r="G55" s="69"/>
      <c r="H55" s="69"/>
      <c r="I55" s="69"/>
      <c r="J55" s="69"/>
      <c r="K55" s="69"/>
      <c r="L55" s="69"/>
      <c r="M55" s="69"/>
      <c r="N55" s="435">
        <f>SUM(N42:O54)</f>
        <v>273695.5</v>
      </c>
      <c r="O55" s="435"/>
      <c r="P55" s="81"/>
      <c r="Q55" s="81"/>
      <c r="R55" s="81"/>
      <c r="S55" s="81"/>
      <c r="T55" s="70"/>
    </row>
    <row r="56" spans="4:20" ht="13" thickBot="1">
      <c r="D56" s="63"/>
      <c r="E56" s="9" t="s">
        <v>608</v>
      </c>
      <c r="N56" s="436"/>
      <c r="O56" s="436"/>
      <c r="P56" s="436"/>
      <c r="Q56" s="436"/>
      <c r="R56" s="436"/>
      <c r="S56" s="436"/>
      <c r="T56" s="437"/>
    </row>
    <row r="57" spans="4:20" ht="13.5" thickBot="1">
      <c r="D57" s="68"/>
      <c r="E57" s="69" t="s">
        <v>607</v>
      </c>
      <c r="F57" s="69"/>
      <c r="G57" s="69"/>
      <c r="H57" s="69"/>
      <c r="I57" s="69"/>
      <c r="J57" s="69"/>
      <c r="K57" s="69"/>
      <c r="L57" s="69"/>
      <c r="M57" s="69"/>
      <c r="N57" s="435">
        <f>SUM(N55:O56)</f>
        <v>273695.5</v>
      </c>
      <c r="O57" s="435"/>
      <c r="P57" s="81"/>
      <c r="Q57" s="81"/>
      <c r="R57" s="81"/>
      <c r="S57" s="81"/>
      <c r="T57" s="70"/>
    </row>
    <row r="58" spans="4:20">
      <c r="D58" s="63"/>
      <c r="E58" s="9" t="s">
        <v>123</v>
      </c>
      <c r="K58" s="71">
        <v>1.15E-2</v>
      </c>
      <c r="N58" s="432">
        <f>$W66*$K58</f>
        <v>3622.5</v>
      </c>
      <c r="O58" s="432"/>
      <c r="P58" s="439"/>
      <c r="Q58" s="439"/>
      <c r="R58" s="439"/>
      <c r="S58" s="439"/>
      <c r="T58" s="440"/>
    </row>
    <row r="59" spans="4:20">
      <c r="D59" s="63"/>
      <c r="E59" s="9" t="s">
        <v>124</v>
      </c>
      <c r="K59" s="78">
        <v>2E-3</v>
      </c>
      <c r="N59" s="432">
        <f>$W66*$K59</f>
        <v>630</v>
      </c>
      <c r="O59" s="432"/>
      <c r="P59" s="432"/>
      <c r="Q59" s="432"/>
      <c r="R59" s="432"/>
      <c r="S59" s="432"/>
      <c r="T59" s="441"/>
    </row>
    <row r="60" spans="4:20">
      <c r="D60" s="63"/>
      <c r="E60" s="9" t="s">
        <v>609</v>
      </c>
      <c r="K60" s="78">
        <v>3.8899999999999998E-3</v>
      </c>
      <c r="N60" s="432">
        <f>$W66*$K60</f>
        <v>1225.3499999999999</v>
      </c>
      <c r="O60" s="432"/>
      <c r="P60" s="432"/>
      <c r="Q60" s="432"/>
      <c r="R60" s="432"/>
      <c r="S60" s="432"/>
      <c r="T60" s="441"/>
    </row>
    <row r="61" spans="4:20">
      <c r="D61" s="63"/>
      <c r="E61" s="9" t="s">
        <v>610</v>
      </c>
      <c r="K61" s="79">
        <v>1.2999999999999999E-2</v>
      </c>
      <c r="N61" s="432">
        <f>N55*$K61</f>
        <v>3558.0414999999998</v>
      </c>
      <c r="O61" s="432"/>
      <c r="P61" s="432"/>
      <c r="Q61" s="432"/>
      <c r="R61" s="432"/>
      <c r="S61" s="432"/>
      <c r="T61" s="441"/>
    </row>
    <row r="62" spans="4:20" ht="13" thickBot="1">
      <c r="D62" s="63"/>
      <c r="E62" s="9" t="s">
        <v>611</v>
      </c>
      <c r="K62" s="80">
        <v>0</v>
      </c>
      <c r="N62" s="432">
        <f>N56*$K62</f>
        <v>0</v>
      </c>
      <c r="O62" s="432"/>
      <c r="P62" s="432"/>
      <c r="Q62" s="432"/>
      <c r="R62" s="432"/>
      <c r="S62" s="432"/>
      <c r="T62" s="441"/>
    </row>
    <row r="63" spans="4:20" ht="13.5" thickBot="1">
      <c r="D63" s="68"/>
      <c r="E63" s="69" t="s">
        <v>607</v>
      </c>
      <c r="F63" s="69"/>
      <c r="G63" s="69"/>
      <c r="H63" s="69"/>
      <c r="I63" s="69"/>
      <c r="J63" s="69"/>
      <c r="K63" s="69"/>
      <c r="L63" s="69"/>
      <c r="M63" s="69"/>
      <c r="N63" s="435">
        <f>SUM(N57:O62)</f>
        <v>282731.39149999997</v>
      </c>
      <c r="O63" s="435"/>
      <c r="P63" s="81"/>
      <c r="Q63" s="81"/>
      <c r="R63" s="81"/>
      <c r="S63" s="81"/>
      <c r="T63" s="70"/>
    </row>
    <row r="64" spans="4:20">
      <c r="D64" s="63"/>
      <c r="E64" s="9" t="s">
        <v>612</v>
      </c>
      <c r="K64" s="72">
        <v>0</v>
      </c>
      <c r="N64" s="439">
        <f>N63*$K64</f>
        <v>0</v>
      </c>
      <c r="O64" s="439"/>
      <c r="P64" s="439"/>
      <c r="Q64" s="439"/>
      <c r="R64" s="439"/>
      <c r="S64" s="439"/>
      <c r="T64" s="440"/>
    </row>
    <row r="65" spans="3:23" ht="13" thickBot="1">
      <c r="D65" s="63"/>
      <c r="E65" s="9" t="s">
        <v>613</v>
      </c>
      <c r="K65" s="72">
        <v>0.03</v>
      </c>
      <c r="N65" s="442">
        <f>N63*$K65</f>
        <v>8481.9417449999983</v>
      </c>
      <c r="O65" s="442"/>
      <c r="P65" s="442"/>
      <c r="Q65" s="442"/>
      <c r="R65" s="442"/>
      <c r="S65" s="442"/>
      <c r="T65" s="443"/>
    </row>
    <row r="66" spans="3:23" ht="13.5" thickBot="1">
      <c r="C66" s="1">
        <v>1</v>
      </c>
      <c r="D66" s="68"/>
      <c r="E66" s="69" t="s">
        <v>607</v>
      </c>
      <c r="F66" s="69"/>
      <c r="G66" s="69"/>
      <c r="H66" s="69"/>
      <c r="I66" s="69"/>
      <c r="J66" s="69"/>
      <c r="K66" s="69"/>
      <c r="L66" s="69"/>
      <c r="M66" s="69"/>
      <c r="N66" s="435">
        <f>SUM(N63:O65)</f>
        <v>291213.33324499999</v>
      </c>
      <c r="O66" s="435"/>
      <c r="P66" s="81"/>
      <c r="Q66" s="81"/>
      <c r="R66" s="81"/>
      <c r="S66" s="81"/>
      <c r="T66" s="70"/>
      <c r="V66" s="76" t="s">
        <v>614</v>
      </c>
      <c r="W66">
        <v>315000</v>
      </c>
    </row>
    <row r="67" spans="3:23" ht="13" thickBot="1">
      <c r="C67" s="1"/>
      <c r="D67" s="63"/>
      <c r="E67" s="9" t="s">
        <v>615</v>
      </c>
      <c r="K67" s="72">
        <v>3.7499999999999999E-2</v>
      </c>
      <c r="N67" s="436">
        <f>N66*$K67</f>
        <v>10920.499996687498</v>
      </c>
      <c r="O67" s="436"/>
      <c r="P67" s="436"/>
      <c r="Q67" s="436"/>
      <c r="R67" s="436"/>
      <c r="S67" s="436"/>
      <c r="T67" s="437"/>
    </row>
    <row r="68" spans="3:23" ht="13.5" thickBot="1">
      <c r="C68" s="1"/>
      <c r="D68" s="68"/>
      <c r="E68" s="69" t="s">
        <v>607</v>
      </c>
      <c r="F68" s="69"/>
      <c r="G68" s="69"/>
      <c r="H68" s="69"/>
      <c r="I68" s="69"/>
      <c r="J68" s="69"/>
      <c r="K68" s="69"/>
      <c r="L68" s="69"/>
      <c r="M68" s="69"/>
      <c r="N68" s="435">
        <f>SUM(N66:O67)</f>
        <v>302133.83324168751</v>
      </c>
      <c r="O68" s="435"/>
      <c r="P68" s="81"/>
      <c r="Q68" s="81"/>
      <c r="R68" s="81"/>
      <c r="S68" s="81"/>
      <c r="T68" s="70"/>
    </row>
    <row r="69" spans="3:23" ht="13" thickBot="1">
      <c r="D69" s="63"/>
      <c r="E69" s="9" t="s">
        <v>616</v>
      </c>
      <c r="K69" s="72">
        <v>0</v>
      </c>
      <c r="N69" s="436">
        <f>N68*$K69</f>
        <v>0</v>
      </c>
      <c r="O69" s="436"/>
      <c r="P69" s="436"/>
      <c r="Q69" s="436"/>
      <c r="R69" s="436"/>
      <c r="S69" s="436"/>
      <c r="T69" s="437"/>
    </row>
    <row r="70" spans="3:23" ht="13.5" thickBot="1">
      <c r="D70" s="73"/>
      <c r="E70" s="74" t="s">
        <v>18</v>
      </c>
      <c r="F70" s="74"/>
      <c r="G70" s="74"/>
      <c r="H70" s="74"/>
      <c r="I70" s="74"/>
      <c r="J70" s="74"/>
      <c r="K70" s="74"/>
      <c r="L70" s="74"/>
      <c r="M70" s="74"/>
      <c r="N70" s="438">
        <f>SUM(N68:O69)</f>
        <v>302133.83324168751</v>
      </c>
      <c r="O70" s="438"/>
      <c r="P70" s="82"/>
      <c r="Q70" s="82"/>
      <c r="R70" s="82"/>
      <c r="S70" s="82"/>
      <c r="T70" s="75"/>
      <c r="U70" s="398">
        <f>N70/28770</f>
        <v>10.50169736676008</v>
      </c>
    </row>
    <row r="71" spans="3:23" ht="13" thickTop="1"/>
    <row r="72" spans="3:23" ht="13" thickBot="1"/>
    <row r="73" spans="3:23" ht="13" thickTop="1">
      <c r="D73" s="59" t="s">
        <v>572</v>
      </c>
      <c r="E73" s="60" t="s">
        <v>573</v>
      </c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2"/>
    </row>
    <row r="74" spans="3:23">
      <c r="D74" s="63" t="str">
        <f>D9</f>
        <v>B</v>
      </c>
      <c r="E74" t="str">
        <f>E9</f>
        <v>Parking Canopies</v>
      </c>
      <c r="T74" s="64"/>
    </row>
    <row r="75" spans="3:23">
      <c r="D75" s="65"/>
      <c r="E75" s="66" t="s">
        <v>600</v>
      </c>
      <c r="F75" s="66" t="s">
        <v>601</v>
      </c>
      <c r="G75" s="45"/>
      <c r="H75" s="45"/>
      <c r="I75" s="45"/>
      <c r="J75" s="45"/>
      <c r="K75" s="374" t="s">
        <v>602</v>
      </c>
      <c r="L75" s="374" t="s">
        <v>603</v>
      </c>
      <c r="M75" s="374" t="s">
        <v>604</v>
      </c>
      <c r="N75" s="444" t="s">
        <v>605</v>
      </c>
      <c r="O75" s="444"/>
      <c r="P75" s="444" t="s">
        <v>606</v>
      </c>
      <c r="Q75" s="444"/>
      <c r="R75" s="444"/>
      <c r="S75" s="444"/>
      <c r="T75" s="445"/>
    </row>
    <row r="76" spans="3:23">
      <c r="D76" s="63"/>
      <c r="M76" s="67"/>
      <c r="N76" s="446">
        <f t="shared" ref="N76" si="16">K76*M76</f>
        <v>0</v>
      </c>
      <c r="O76" s="446"/>
      <c r="P76" s="446"/>
      <c r="Q76" s="446"/>
      <c r="R76" s="446"/>
      <c r="S76" s="446"/>
      <c r="T76" s="447"/>
    </row>
    <row r="77" spans="3:23">
      <c r="D77" s="63"/>
      <c r="F77" s="9" t="s">
        <v>348</v>
      </c>
      <c r="H77" t="s">
        <v>286</v>
      </c>
      <c r="K77">
        <v>12</v>
      </c>
      <c r="L77" s="9" t="s">
        <v>162</v>
      </c>
      <c r="M77" s="67">
        <f>30*115</f>
        <v>3450</v>
      </c>
      <c r="N77" s="432">
        <f>K77*M77</f>
        <v>41400</v>
      </c>
      <c r="O77" s="432"/>
      <c r="P77" s="433"/>
      <c r="Q77" s="433"/>
      <c r="R77" s="433"/>
      <c r="S77" s="433"/>
      <c r="T77" s="434"/>
    </row>
    <row r="78" spans="3:23">
      <c r="D78" s="63"/>
      <c r="F78" s="9" t="s">
        <v>820</v>
      </c>
      <c r="K78">
        <v>4960</v>
      </c>
      <c r="L78" s="9" t="s">
        <v>5</v>
      </c>
      <c r="M78" s="67">
        <v>55</v>
      </c>
      <c r="N78" s="432">
        <f t="shared" ref="N78:N82" si="17">K78*M78</f>
        <v>272800</v>
      </c>
      <c r="O78" s="432"/>
      <c r="P78" s="433"/>
      <c r="Q78" s="433"/>
      <c r="R78" s="433"/>
      <c r="S78" s="433"/>
      <c r="T78" s="434"/>
    </row>
    <row r="79" spans="3:23">
      <c r="D79" s="63"/>
      <c r="F79" s="9"/>
      <c r="L79" s="9"/>
      <c r="M79" s="67"/>
      <c r="N79" s="432">
        <f t="shared" si="17"/>
        <v>0</v>
      </c>
      <c r="O79" s="432"/>
      <c r="P79" s="433"/>
      <c r="Q79" s="433"/>
      <c r="R79" s="433"/>
      <c r="S79" s="433"/>
      <c r="T79" s="434"/>
    </row>
    <row r="80" spans="3:23">
      <c r="D80" s="63"/>
      <c r="F80" s="9"/>
      <c r="L80" s="9"/>
      <c r="M80" s="67"/>
      <c r="N80" s="432">
        <f t="shared" si="17"/>
        <v>0</v>
      </c>
      <c r="O80" s="432"/>
      <c r="P80" s="433"/>
      <c r="Q80" s="433"/>
      <c r="R80" s="433"/>
      <c r="S80" s="433"/>
      <c r="T80" s="434"/>
    </row>
    <row r="81" spans="3:23">
      <c r="D81" s="63"/>
      <c r="F81" s="9"/>
      <c r="L81" s="9"/>
      <c r="M81" s="67"/>
      <c r="N81" s="432">
        <f t="shared" si="17"/>
        <v>0</v>
      </c>
      <c r="O81" s="432"/>
      <c r="P81" s="433"/>
      <c r="Q81" s="433"/>
      <c r="R81" s="433"/>
      <c r="S81" s="433"/>
      <c r="T81" s="434"/>
    </row>
    <row r="82" spans="3:23" ht="13" thickBot="1">
      <c r="D82" s="63"/>
      <c r="M82" s="67"/>
      <c r="N82" s="442">
        <f t="shared" si="17"/>
        <v>0</v>
      </c>
      <c r="O82" s="442"/>
      <c r="P82" s="442"/>
      <c r="Q82" s="442"/>
      <c r="R82" s="442"/>
      <c r="S82" s="442"/>
      <c r="T82" s="443"/>
    </row>
    <row r="83" spans="3:23" ht="13.5" thickBot="1">
      <c r="D83" s="68"/>
      <c r="E83" s="69" t="s">
        <v>607</v>
      </c>
      <c r="F83" s="69"/>
      <c r="G83" s="69"/>
      <c r="H83" s="69"/>
      <c r="I83" s="69"/>
      <c r="J83" s="69"/>
      <c r="K83" s="69"/>
      <c r="L83" s="69"/>
      <c r="M83" s="69"/>
      <c r="N83" s="435">
        <f>SUM(N75:O82)</f>
        <v>314200</v>
      </c>
      <c r="O83" s="435"/>
      <c r="P83" s="81"/>
      <c r="Q83" s="81"/>
      <c r="R83" s="81"/>
      <c r="S83" s="81"/>
      <c r="T83" s="70"/>
    </row>
    <row r="84" spans="3:23" ht="13" thickBot="1">
      <c r="D84" s="63"/>
      <c r="E84" s="9" t="s">
        <v>608</v>
      </c>
      <c r="N84" s="436"/>
      <c r="O84" s="436"/>
      <c r="P84" s="436"/>
      <c r="Q84" s="436"/>
      <c r="R84" s="436"/>
      <c r="S84" s="436"/>
      <c r="T84" s="437"/>
    </row>
    <row r="85" spans="3:23" ht="13.5" thickBot="1">
      <c r="D85" s="68"/>
      <c r="E85" s="69" t="s">
        <v>607</v>
      </c>
      <c r="F85" s="69"/>
      <c r="G85" s="69"/>
      <c r="H85" s="69"/>
      <c r="I85" s="69"/>
      <c r="J85" s="69"/>
      <c r="K85" s="69"/>
      <c r="L85" s="69"/>
      <c r="M85" s="69"/>
      <c r="N85" s="435">
        <f>SUM(N83:O84)</f>
        <v>314200</v>
      </c>
      <c r="O85" s="435"/>
      <c r="P85" s="81"/>
      <c r="Q85" s="81"/>
      <c r="R85" s="81"/>
      <c r="S85" s="81"/>
      <c r="T85" s="70"/>
    </row>
    <row r="86" spans="3:23">
      <c r="D86" s="63"/>
      <c r="E86" s="9" t="s">
        <v>123</v>
      </c>
      <c r="K86" s="71">
        <v>1.15E-2</v>
      </c>
      <c r="N86" s="432">
        <f>$W94*$K86</f>
        <v>4140</v>
      </c>
      <c r="O86" s="432"/>
      <c r="P86" s="439"/>
      <c r="Q86" s="439"/>
      <c r="R86" s="439"/>
      <c r="S86" s="439"/>
      <c r="T86" s="440"/>
    </row>
    <row r="87" spans="3:23">
      <c r="D87" s="63"/>
      <c r="E87" s="9" t="s">
        <v>124</v>
      </c>
      <c r="K87" s="78">
        <v>2E-3</v>
      </c>
      <c r="N87" s="432">
        <f>$W94*$K87</f>
        <v>720</v>
      </c>
      <c r="O87" s="432"/>
      <c r="P87" s="432"/>
      <c r="Q87" s="432"/>
      <c r="R87" s="432"/>
      <c r="S87" s="432"/>
      <c r="T87" s="441"/>
    </row>
    <row r="88" spans="3:23">
      <c r="D88" s="63"/>
      <c r="E88" s="9" t="s">
        <v>609</v>
      </c>
      <c r="K88" s="78">
        <v>3.8899999999999998E-3</v>
      </c>
      <c r="N88" s="432">
        <f>$W94*$K88</f>
        <v>1400.3999999999999</v>
      </c>
      <c r="O88" s="432"/>
      <c r="P88" s="432"/>
      <c r="Q88" s="432"/>
      <c r="R88" s="432"/>
      <c r="S88" s="432"/>
      <c r="T88" s="441"/>
    </row>
    <row r="89" spans="3:23">
      <c r="D89" s="63"/>
      <c r="E89" s="9" t="s">
        <v>610</v>
      </c>
      <c r="K89" s="79">
        <v>1.2999999999999999E-2</v>
      </c>
      <c r="N89" s="432">
        <f>N83*$K89</f>
        <v>4084.6</v>
      </c>
      <c r="O89" s="432"/>
      <c r="P89" s="432"/>
      <c r="Q89" s="432"/>
      <c r="R89" s="432"/>
      <c r="S89" s="432"/>
      <c r="T89" s="441"/>
    </row>
    <row r="90" spans="3:23" ht="13" thickBot="1">
      <c r="D90" s="63"/>
      <c r="E90" s="9" t="s">
        <v>611</v>
      </c>
      <c r="K90" s="80">
        <v>0</v>
      </c>
      <c r="N90" s="432">
        <f>N84*$K90</f>
        <v>0</v>
      </c>
      <c r="O90" s="432"/>
      <c r="P90" s="432"/>
      <c r="Q90" s="432"/>
      <c r="R90" s="432"/>
      <c r="S90" s="432"/>
      <c r="T90" s="441"/>
    </row>
    <row r="91" spans="3:23" ht="13.5" thickBot="1">
      <c r="D91" s="68"/>
      <c r="E91" s="69" t="s">
        <v>607</v>
      </c>
      <c r="F91" s="69"/>
      <c r="G91" s="69"/>
      <c r="H91" s="69"/>
      <c r="I91" s="69"/>
      <c r="J91" s="69"/>
      <c r="K91" s="69"/>
      <c r="L91" s="69"/>
      <c r="M91" s="69"/>
      <c r="N91" s="435">
        <f>SUM(N85:O90)</f>
        <v>324545</v>
      </c>
      <c r="O91" s="435"/>
      <c r="P91" s="81"/>
      <c r="Q91" s="81"/>
      <c r="R91" s="81"/>
      <c r="S91" s="81"/>
      <c r="T91" s="70"/>
    </row>
    <row r="92" spans="3:23">
      <c r="D92" s="63"/>
      <c r="E92" s="9" t="s">
        <v>612</v>
      </c>
      <c r="K92" s="72">
        <v>0</v>
      </c>
      <c r="N92" s="439">
        <f>N91*$K92</f>
        <v>0</v>
      </c>
      <c r="O92" s="439"/>
      <c r="P92" s="439"/>
      <c r="Q92" s="439"/>
      <c r="R92" s="439"/>
      <c r="S92" s="439"/>
      <c r="T92" s="440"/>
    </row>
    <row r="93" spans="3:23" ht="13" thickBot="1">
      <c r="D93" s="63"/>
      <c r="E93" s="9" t="s">
        <v>613</v>
      </c>
      <c r="K93" s="72">
        <v>0.03</v>
      </c>
      <c r="N93" s="442">
        <f>N91*$K93</f>
        <v>9736.35</v>
      </c>
      <c r="O93" s="442"/>
      <c r="P93" s="442"/>
      <c r="Q93" s="442"/>
      <c r="R93" s="442"/>
      <c r="S93" s="442"/>
      <c r="T93" s="443"/>
    </row>
    <row r="94" spans="3:23" ht="13.5" thickBot="1">
      <c r="C94" s="1">
        <v>2</v>
      </c>
      <c r="D94" s="68"/>
      <c r="E94" s="69" t="s">
        <v>607</v>
      </c>
      <c r="F94" s="69"/>
      <c r="G94" s="69"/>
      <c r="H94" s="69"/>
      <c r="I94" s="69"/>
      <c r="J94" s="69"/>
      <c r="K94" s="69"/>
      <c r="L94" s="69"/>
      <c r="M94" s="69"/>
      <c r="N94" s="435">
        <f>SUM(N91:O93)</f>
        <v>334281.34999999998</v>
      </c>
      <c r="O94" s="435"/>
      <c r="P94" s="81"/>
      <c r="Q94" s="81"/>
      <c r="R94" s="81"/>
      <c r="S94" s="81"/>
      <c r="T94" s="70"/>
      <c r="V94" s="76" t="s">
        <v>614</v>
      </c>
      <c r="W94">
        <v>360000</v>
      </c>
    </row>
    <row r="95" spans="3:23" ht="13" thickBot="1">
      <c r="D95" s="63"/>
      <c r="E95" s="9" t="s">
        <v>615</v>
      </c>
      <c r="K95" s="72">
        <v>3.7499999999999999E-2</v>
      </c>
      <c r="N95" s="436">
        <f>N94*$K95</f>
        <v>12535.550624999998</v>
      </c>
      <c r="O95" s="436"/>
      <c r="P95" s="436"/>
      <c r="Q95" s="436"/>
      <c r="R95" s="436"/>
      <c r="S95" s="436"/>
      <c r="T95" s="437"/>
    </row>
    <row r="96" spans="3:23" ht="13.5" thickBot="1">
      <c r="D96" s="68"/>
      <c r="E96" s="69" t="s">
        <v>607</v>
      </c>
      <c r="F96" s="69"/>
      <c r="G96" s="69"/>
      <c r="H96" s="69"/>
      <c r="I96" s="69"/>
      <c r="J96" s="69"/>
      <c r="K96" s="69"/>
      <c r="L96" s="69"/>
      <c r="M96" s="69"/>
      <c r="N96" s="435">
        <f>SUM(N94:O95)</f>
        <v>346816.90062499995</v>
      </c>
      <c r="O96" s="435"/>
      <c r="P96" s="81"/>
      <c r="Q96" s="81"/>
      <c r="R96" s="81"/>
      <c r="S96" s="81"/>
      <c r="T96" s="70"/>
    </row>
    <row r="97" spans="4:20" ht="13" thickBot="1">
      <c r="D97" s="63"/>
      <c r="E97" s="9" t="s">
        <v>616</v>
      </c>
      <c r="K97" s="72">
        <v>0</v>
      </c>
      <c r="N97" s="436">
        <f>N96*$K97</f>
        <v>0</v>
      </c>
      <c r="O97" s="436"/>
      <c r="P97" s="436"/>
      <c r="Q97" s="436"/>
      <c r="R97" s="436"/>
      <c r="S97" s="436"/>
      <c r="T97" s="437"/>
    </row>
    <row r="98" spans="4:20" ht="13.5" thickBot="1">
      <c r="D98" s="73"/>
      <c r="E98" s="74" t="s">
        <v>18</v>
      </c>
      <c r="F98" s="74"/>
      <c r="G98" s="74"/>
      <c r="H98" s="74"/>
      <c r="I98" s="74"/>
      <c r="J98" s="74"/>
      <c r="K98" s="74"/>
      <c r="L98" s="74"/>
      <c r="M98" s="74"/>
      <c r="N98" s="438">
        <f>SUM(N96:O97)</f>
        <v>346816.90062499995</v>
      </c>
      <c r="O98" s="438"/>
      <c r="P98" s="82"/>
      <c r="Q98" s="82"/>
      <c r="R98" s="82"/>
      <c r="S98" s="82"/>
      <c r="T98" s="75"/>
    </row>
    <row r="99" spans="4:20" ht="13" thickBot="1"/>
    <row r="100" spans="4:20" ht="13" thickBot="1"/>
    <row r="101" spans="4:20" ht="13" thickTop="1">
      <c r="D101" s="59" t="s">
        <v>572</v>
      </c>
      <c r="E101" s="60" t="s">
        <v>573</v>
      </c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2"/>
    </row>
    <row r="102" spans="4:20">
      <c r="D102" s="63" t="str">
        <f>D10</f>
        <v>C</v>
      </c>
      <c r="E102" t="s">
        <v>869</v>
      </c>
      <c r="T102" s="64"/>
    </row>
    <row r="103" spans="4:20">
      <c r="D103" s="65"/>
      <c r="E103" s="66" t="s">
        <v>600</v>
      </c>
      <c r="F103" s="66" t="s">
        <v>601</v>
      </c>
      <c r="G103" s="45"/>
      <c r="H103" s="45"/>
      <c r="I103" s="45"/>
      <c r="J103" s="45"/>
      <c r="K103" s="374" t="s">
        <v>602</v>
      </c>
      <c r="L103" s="374" t="s">
        <v>603</v>
      </c>
      <c r="M103" s="374" t="s">
        <v>604</v>
      </c>
      <c r="N103" s="444" t="s">
        <v>605</v>
      </c>
      <c r="O103" s="444"/>
      <c r="P103" s="444" t="s">
        <v>606</v>
      </c>
      <c r="Q103" s="444"/>
      <c r="R103" s="444"/>
      <c r="S103" s="444"/>
      <c r="T103" s="445"/>
    </row>
    <row r="104" spans="4:20">
      <c r="D104" s="63"/>
      <c r="H104">
        <v>0</v>
      </c>
      <c r="I104">
        <v>0</v>
      </c>
      <c r="M104" s="67"/>
      <c r="N104" s="446">
        <f t="shared" ref="N104" si="18">K104*M104</f>
        <v>0</v>
      </c>
      <c r="O104" s="446"/>
      <c r="P104" s="446"/>
      <c r="Q104" s="446"/>
      <c r="R104" s="446"/>
      <c r="S104" s="446"/>
      <c r="T104" s="447"/>
    </row>
    <row r="105" spans="4:20">
      <c r="D105" s="63"/>
      <c r="F105" s="9"/>
      <c r="K105" s="411">
        <v>0</v>
      </c>
      <c r="L105" s="9" t="s">
        <v>343</v>
      </c>
      <c r="M105" s="67">
        <v>0</v>
      </c>
      <c r="N105" s="432">
        <f>K105*M105</f>
        <v>0</v>
      </c>
      <c r="O105" s="432"/>
      <c r="P105" s="433"/>
      <c r="Q105" s="433"/>
      <c r="R105" s="433"/>
      <c r="S105" s="433"/>
      <c r="T105" s="434"/>
    </row>
    <row r="106" spans="4:20">
      <c r="D106" s="63"/>
      <c r="E106" s="9"/>
      <c r="F106" s="9"/>
      <c r="K106" s="411">
        <v>0</v>
      </c>
      <c r="L106" s="9" t="s">
        <v>343</v>
      </c>
      <c r="M106" s="67">
        <v>0</v>
      </c>
      <c r="N106" s="432">
        <f t="shared" ref="N106:N109" si="19">K106*M106</f>
        <v>0</v>
      </c>
      <c r="O106" s="432"/>
      <c r="P106" s="433"/>
      <c r="Q106" s="433"/>
      <c r="R106" s="433"/>
      <c r="S106" s="433"/>
      <c r="T106" s="434"/>
    </row>
    <row r="107" spans="4:20">
      <c r="D107" s="63"/>
      <c r="F107" s="9"/>
      <c r="K107" s="411">
        <v>0</v>
      </c>
      <c r="L107" s="9" t="s">
        <v>7</v>
      </c>
      <c r="M107" s="67">
        <v>0</v>
      </c>
      <c r="N107" s="432">
        <f t="shared" si="19"/>
        <v>0</v>
      </c>
      <c r="O107" s="432"/>
      <c r="P107" s="433"/>
      <c r="Q107" s="433"/>
      <c r="R107" s="433"/>
      <c r="S107" s="433"/>
      <c r="T107" s="434"/>
    </row>
    <row r="108" spans="4:20">
      <c r="D108" s="63"/>
      <c r="F108" s="9"/>
      <c r="K108" s="411">
        <v>0</v>
      </c>
      <c r="L108" s="9" t="s">
        <v>162</v>
      </c>
      <c r="M108" s="67">
        <v>0</v>
      </c>
      <c r="N108" s="432">
        <f t="shared" si="19"/>
        <v>0</v>
      </c>
      <c r="O108" s="432"/>
      <c r="P108" s="433"/>
      <c r="Q108" s="433"/>
      <c r="R108" s="433"/>
      <c r="S108" s="433"/>
      <c r="T108" s="434"/>
    </row>
    <row r="109" spans="4:20">
      <c r="D109" s="63"/>
      <c r="F109" s="9"/>
      <c r="K109" s="411">
        <v>0</v>
      </c>
      <c r="L109" s="9" t="s">
        <v>7</v>
      </c>
      <c r="M109" s="67">
        <v>0</v>
      </c>
      <c r="N109" s="432">
        <f t="shared" si="19"/>
        <v>0</v>
      </c>
      <c r="O109" s="432"/>
      <c r="P109" s="433"/>
      <c r="Q109" s="433"/>
      <c r="R109" s="433"/>
      <c r="S109" s="433"/>
      <c r="T109" s="434"/>
    </row>
    <row r="110" spans="4:20">
      <c r="D110" s="63"/>
      <c r="F110" s="9"/>
      <c r="K110" s="411">
        <v>0</v>
      </c>
      <c r="L110" s="9" t="s">
        <v>162</v>
      </c>
      <c r="M110" s="67">
        <v>0</v>
      </c>
      <c r="N110" s="432">
        <f t="shared" ref="N110:N111" si="20">K110*M110</f>
        <v>0</v>
      </c>
      <c r="O110" s="432"/>
      <c r="P110" s="433"/>
      <c r="Q110" s="433"/>
      <c r="R110" s="433"/>
      <c r="S110" s="433"/>
      <c r="T110" s="434"/>
    </row>
    <row r="111" spans="4:20">
      <c r="D111" s="63"/>
      <c r="F111" s="9"/>
      <c r="K111" s="411">
        <v>0</v>
      </c>
      <c r="L111" s="9" t="s">
        <v>7</v>
      </c>
      <c r="M111" s="67">
        <v>0</v>
      </c>
      <c r="N111" s="432">
        <f t="shared" si="20"/>
        <v>0</v>
      </c>
      <c r="O111" s="432"/>
      <c r="P111" s="433"/>
      <c r="Q111" s="433"/>
      <c r="R111" s="433"/>
      <c r="S111" s="433"/>
      <c r="T111" s="434"/>
    </row>
    <row r="112" spans="4:20">
      <c r="D112" s="63"/>
      <c r="F112" s="9"/>
      <c r="K112" s="411">
        <v>0</v>
      </c>
      <c r="L112" s="9" t="s">
        <v>162</v>
      </c>
      <c r="M112" s="67">
        <v>0</v>
      </c>
      <c r="N112" s="432">
        <f t="shared" ref="N112:N114" si="21">K112*M112</f>
        <v>0</v>
      </c>
      <c r="O112" s="432"/>
      <c r="P112" s="433"/>
      <c r="Q112" s="433"/>
      <c r="R112" s="433"/>
      <c r="S112" s="433"/>
      <c r="T112" s="434"/>
    </row>
    <row r="113" spans="3:23">
      <c r="D113" s="63"/>
      <c r="F113" s="9"/>
      <c r="K113" s="411">
        <v>0</v>
      </c>
      <c r="L113" s="9" t="s">
        <v>164</v>
      </c>
      <c r="M113" s="67">
        <v>0</v>
      </c>
      <c r="N113" s="432">
        <f t="shared" ref="N113" si="22">K113*M113</f>
        <v>0</v>
      </c>
      <c r="O113" s="432"/>
      <c r="P113" s="433"/>
      <c r="Q113" s="433"/>
      <c r="R113" s="433"/>
      <c r="S113" s="433"/>
      <c r="T113" s="434"/>
    </row>
    <row r="114" spans="3:23" ht="13" thickBot="1">
      <c r="D114" s="63"/>
      <c r="M114" s="67"/>
      <c r="N114" s="442">
        <f t="shared" si="21"/>
        <v>0</v>
      </c>
      <c r="O114" s="442"/>
      <c r="P114" s="442"/>
      <c r="Q114" s="442"/>
      <c r="R114" s="442"/>
      <c r="S114" s="442"/>
      <c r="T114" s="443"/>
    </row>
    <row r="115" spans="3:23" ht="13.5" thickBot="1">
      <c r="D115" s="68"/>
      <c r="E115" s="69" t="s">
        <v>607</v>
      </c>
      <c r="F115" s="69"/>
      <c r="G115" s="69"/>
      <c r="H115" s="69"/>
      <c r="I115" s="69"/>
      <c r="J115" s="69"/>
      <c r="K115" s="69"/>
      <c r="L115" s="69"/>
      <c r="M115" s="69"/>
      <c r="N115" s="435">
        <f>SUM(N103:O114)</f>
        <v>0</v>
      </c>
      <c r="O115" s="435"/>
      <c r="P115" s="81"/>
      <c r="Q115" s="81"/>
      <c r="R115" s="81"/>
      <c r="S115" s="81"/>
      <c r="T115" s="70"/>
    </row>
    <row r="116" spans="3:23" ht="13" thickBot="1">
      <c r="D116" s="63"/>
      <c r="E116" s="9" t="s">
        <v>608</v>
      </c>
      <c r="N116" s="436"/>
      <c r="O116" s="436"/>
      <c r="P116" s="436"/>
      <c r="Q116" s="436"/>
      <c r="R116" s="436"/>
      <c r="S116" s="436"/>
      <c r="T116" s="437"/>
    </row>
    <row r="117" spans="3:23" ht="13.5" thickBot="1">
      <c r="D117" s="68"/>
      <c r="E117" s="69" t="s">
        <v>607</v>
      </c>
      <c r="F117" s="69"/>
      <c r="G117" s="69"/>
      <c r="H117" s="69"/>
      <c r="I117" s="69"/>
      <c r="J117" s="69"/>
      <c r="K117" s="69"/>
      <c r="L117" s="69"/>
      <c r="M117" s="69"/>
      <c r="N117" s="435">
        <f>SUM(N115:O116)</f>
        <v>0</v>
      </c>
      <c r="O117" s="435"/>
      <c r="P117" s="81"/>
      <c r="Q117" s="81"/>
      <c r="R117" s="81"/>
      <c r="S117" s="81"/>
      <c r="T117" s="70"/>
    </row>
    <row r="118" spans="3:23">
      <c r="D118" s="63"/>
      <c r="E118" s="9" t="s">
        <v>123</v>
      </c>
      <c r="K118" s="71">
        <v>1.15E-2</v>
      </c>
      <c r="N118" s="432">
        <f>$W126*$K118</f>
        <v>0</v>
      </c>
      <c r="O118" s="432"/>
      <c r="P118" s="439"/>
      <c r="Q118" s="439"/>
      <c r="R118" s="439"/>
      <c r="S118" s="439"/>
      <c r="T118" s="440"/>
    </row>
    <row r="119" spans="3:23">
      <c r="D119" s="63"/>
      <c r="E119" s="9" t="s">
        <v>124</v>
      </c>
      <c r="K119" s="78">
        <v>2E-3</v>
      </c>
      <c r="N119" s="432">
        <f>$W126*$K119</f>
        <v>0</v>
      </c>
      <c r="O119" s="432"/>
      <c r="P119" s="432"/>
      <c r="Q119" s="432"/>
      <c r="R119" s="432"/>
      <c r="S119" s="432"/>
      <c r="T119" s="441"/>
    </row>
    <row r="120" spans="3:23">
      <c r="D120" s="63"/>
      <c r="E120" s="9" t="s">
        <v>609</v>
      </c>
      <c r="K120" s="78">
        <v>3.8899999999999998E-3</v>
      </c>
      <c r="N120" s="432">
        <f>$W126*$K120</f>
        <v>0</v>
      </c>
      <c r="O120" s="432"/>
      <c r="P120" s="432"/>
      <c r="Q120" s="432"/>
      <c r="R120" s="432"/>
      <c r="S120" s="432"/>
      <c r="T120" s="441"/>
    </row>
    <row r="121" spans="3:23">
      <c r="D121" s="63"/>
      <c r="E121" s="9" t="s">
        <v>610</v>
      </c>
      <c r="K121" s="79">
        <v>1.2999999999999999E-2</v>
      </c>
      <c r="N121" s="432">
        <f>N115*$K121</f>
        <v>0</v>
      </c>
      <c r="O121" s="432"/>
      <c r="P121" s="432"/>
      <c r="Q121" s="432"/>
      <c r="R121" s="432"/>
      <c r="S121" s="432"/>
      <c r="T121" s="441"/>
    </row>
    <row r="122" spans="3:23" ht="13" thickBot="1">
      <c r="D122" s="63"/>
      <c r="E122" s="9" t="s">
        <v>611</v>
      </c>
      <c r="K122" s="80">
        <v>0</v>
      </c>
      <c r="N122" s="432">
        <f>N116*$K122</f>
        <v>0</v>
      </c>
      <c r="O122" s="432"/>
      <c r="P122" s="432"/>
      <c r="Q122" s="432"/>
      <c r="R122" s="432"/>
      <c r="S122" s="432"/>
      <c r="T122" s="441"/>
    </row>
    <row r="123" spans="3:23" ht="13.5" thickBot="1">
      <c r="D123" s="68"/>
      <c r="E123" s="69" t="s">
        <v>607</v>
      </c>
      <c r="F123" s="69"/>
      <c r="G123" s="69"/>
      <c r="H123" s="69"/>
      <c r="I123" s="69"/>
      <c r="J123" s="69"/>
      <c r="K123" s="69"/>
      <c r="L123" s="69"/>
      <c r="M123" s="69"/>
      <c r="N123" s="435">
        <f>SUM(N117:O122)</f>
        <v>0</v>
      </c>
      <c r="O123" s="435"/>
      <c r="P123" s="81"/>
      <c r="Q123" s="81"/>
      <c r="R123" s="81"/>
      <c r="S123" s="81"/>
      <c r="T123" s="70"/>
    </row>
    <row r="124" spans="3:23">
      <c r="D124" s="63"/>
      <c r="E124" s="9" t="s">
        <v>612</v>
      </c>
      <c r="K124" s="72">
        <v>0</v>
      </c>
      <c r="N124" s="439">
        <f>N123*$K124</f>
        <v>0</v>
      </c>
      <c r="O124" s="439"/>
      <c r="P124" s="439"/>
      <c r="Q124" s="439"/>
      <c r="R124" s="439"/>
      <c r="S124" s="439"/>
      <c r="T124" s="440"/>
    </row>
    <row r="125" spans="3:23" ht="13" thickBot="1">
      <c r="D125" s="63"/>
      <c r="E125" s="9" t="s">
        <v>613</v>
      </c>
      <c r="K125" s="72">
        <v>0.03</v>
      </c>
      <c r="N125" s="442">
        <f>N123*$K125</f>
        <v>0</v>
      </c>
      <c r="O125" s="442"/>
      <c r="P125" s="442"/>
      <c r="Q125" s="442"/>
      <c r="R125" s="442"/>
      <c r="S125" s="442"/>
      <c r="T125" s="443"/>
    </row>
    <row r="126" spans="3:23" ht="13.5" thickBot="1">
      <c r="C126" s="1">
        <v>3</v>
      </c>
      <c r="D126" s="68"/>
      <c r="E126" s="69" t="s">
        <v>607</v>
      </c>
      <c r="F126" s="69"/>
      <c r="G126" s="69"/>
      <c r="H126" s="69"/>
      <c r="I126" s="69"/>
      <c r="J126" s="69"/>
      <c r="K126" s="69"/>
      <c r="L126" s="69"/>
      <c r="M126" s="69"/>
      <c r="N126" s="435">
        <f>SUM(N123:O125)</f>
        <v>0</v>
      </c>
      <c r="O126" s="435"/>
      <c r="P126" s="81"/>
      <c r="Q126" s="81"/>
      <c r="R126" s="81"/>
      <c r="S126" s="81"/>
      <c r="T126" s="70"/>
      <c r="V126" s="76" t="s">
        <v>614</v>
      </c>
      <c r="W126">
        <v>0</v>
      </c>
    </row>
    <row r="127" spans="3:23" ht="13" thickBot="1">
      <c r="C127" s="1"/>
      <c r="D127" s="63"/>
      <c r="E127" s="9" t="s">
        <v>615</v>
      </c>
      <c r="K127" s="72">
        <v>3.7499999999999999E-2</v>
      </c>
      <c r="N127" s="436">
        <f>N126*$K127</f>
        <v>0</v>
      </c>
      <c r="O127" s="436"/>
      <c r="P127" s="436"/>
      <c r="Q127" s="436"/>
      <c r="R127" s="436"/>
      <c r="S127" s="436"/>
      <c r="T127" s="437"/>
    </row>
    <row r="128" spans="3:23" ht="13.5" thickBot="1">
      <c r="C128" s="1"/>
      <c r="D128" s="68"/>
      <c r="E128" s="69" t="s">
        <v>607</v>
      </c>
      <c r="F128" s="69"/>
      <c r="G128" s="69"/>
      <c r="H128" s="69"/>
      <c r="I128" s="69"/>
      <c r="J128" s="69"/>
      <c r="K128" s="69"/>
      <c r="L128" s="69"/>
      <c r="M128" s="69"/>
      <c r="N128" s="435">
        <f>SUM(N126:O127)</f>
        <v>0</v>
      </c>
      <c r="O128" s="435"/>
      <c r="P128" s="81"/>
      <c r="Q128" s="81"/>
      <c r="R128" s="81"/>
      <c r="S128" s="81"/>
      <c r="T128" s="70"/>
    </row>
    <row r="129" spans="4:21" ht="13" thickBot="1">
      <c r="D129" s="63"/>
      <c r="E129" s="9" t="s">
        <v>616</v>
      </c>
      <c r="K129" s="72">
        <v>0</v>
      </c>
      <c r="N129" s="436">
        <f>N128*$K129</f>
        <v>0</v>
      </c>
      <c r="O129" s="436"/>
      <c r="P129" s="436"/>
      <c r="Q129" s="436"/>
      <c r="R129" s="436"/>
      <c r="S129" s="436"/>
      <c r="T129" s="437"/>
    </row>
    <row r="130" spans="4:21" ht="13.5" thickBot="1">
      <c r="D130" s="73"/>
      <c r="E130" s="74" t="s">
        <v>18</v>
      </c>
      <c r="F130" s="74"/>
      <c r="G130" s="74"/>
      <c r="H130" s="74"/>
      <c r="I130" s="74"/>
      <c r="J130" s="74"/>
      <c r="K130" s="74"/>
      <c r="L130" s="74"/>
      <c r="M130" s="74"/>
      <c r="N130" s="438">
        <f>SUM(N128:O129)</f>
        <v>0</v>
      </c>
      <c r="O130" s="438"/>
      <c r="P130" s="82"/>
      <c r="Q130" s="82"/>
      <c r="R130" s="82"/>
      <c r="S130" s="82"/>
      <c r="T130" s="75"/>
      <c r="U130" s="398">
        <f>N130/3000</f>
        <v>0</v>
      </c>
    </row>
    <row r="131" spans="4:21" ht="13" thickTop="1">
      <c r="O131" s="398"/>
    </row>
    <row r="132" spans="4:21" ht="13" thickBot="1"/>
    <row r="133" spans="4:21" ht="13" thickTop="1">
      <c r="D133" s="59" t="s">
        <v>572</v>
      </c>
      <c r="E133" s="60" t="s">
        <v>573</v>
      </c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2"/>
    </row>
    <row r="134" spans="4:21">
      <c r="D134" s="63" t="str">
        <f>D11</f>
        <v>D</v>
      </c>
      <c r="E134" t="str">
        <f>E11</f>
        <v>Bi-Folding Doors @ Rear Apparatus Bay in lieu of Coiling</v>
      </c>
      <c r="T134" s="64"/>
    </row>
    <row r="135" spans="4:21">
      <c r="D135" s="65"/>
      <c r="E135" s="66" t="s">
        <v>600</v>
      </c>
      <c r="F135" s="66" t="s">
        <v>601</v>
      </c>
      <c r="G135" s="45"/>
      <c r="H135" s="45"/>
      <c r="I135" s="45"/>
      <c r="J135" s="45"/>
      <c r="K135" s="374" t="s">
        <v>602</v>
      </c>
      <c r="L135" s="374" t="s">
        <v>603</v>
      </c>
      <c r="M135" s="374" t="s">
        <v>604</v>
      </c>
      <c r="N135" s="444" t="s">
        <v>605</v>
      </c>
      <c r="O135" s="444"/>
      <c r="P135" s="444" t="s">
        <v>606</v>
      </c>
      <c r="Q135" s="444"/>
      <c r="R135" s="444"/>
      <c r="S135" s="444"/>
      <c r="T135" s="445"/>
    </row>
    <row r="136" spans="4:21">
      <c r="D136" s="63"/>
      <c r="M136" s="67"/>
      <c r="N136" s="446">
        <f t="shared" ref="N136" si="23">K136*M136</f>
        <v>0</v>
      </c>
      <c r="O136" s="446"/>
      <c r="P136" s="446"/>
      <c r="Q136" s="446"/>
      <c r="R136" s="446"/>
      <c r="S136" s="446"/>
      <c r="T136" s="447"/>
    </row>
    <row r="137" spans="4:21">
      <c r="D137" s="63"/>
      <c r="F137" s="9"/>
      <c r="L137" s="9"/>
      <c r="M137" s="67"/>
      <c r="N137" s="432">
        <f>K137*M137</f>
        <v>0</v>
      </c>
      <c r="O137" s="432"/>
      <c r="P137" s="433"/>
      <c r="Q137" s="433"/>
      <c r="R137" s="433"/>
      <c r="S137" s="433"/>
      <c r="T137" s="434"/>
    </row>
    <row r="138" spans="4:21">
      <c r="D138" s="63"/>
      <c r="E138" s="9"/>
      <c r="F138" s="9" t="s">
        <v>840</v>
      </c>
      <c r="K138">
        <v>3</v>
      </c>
      <c r="L138" s="9" t="s">
        <v>162</v>
      </c>
      <c r="M138" s="67">
        <v>10000</v>
      </c>
      <c r="N138" s="432">
        <f t="shared" ref="N138:N143" si="24">K138*M138</f>
        <v>30000</v>
      </c>
      <c r="O138" s="432"/>
      <c r="P138" s="433"/>
      <c r="Q138" s="433"/>
      <c r="R138" s="433"/>
      <c r="S138" s="433"/>
      <c r="T138" s="434"/>
    </row>
    <row r="139" spans="4:21">
      <c r="D139" s="63"/>
      <c r="F139" s="9"/>
      <c r="L139" s="9"/>
      <c r="M139" s="67"/>
      <c r="N139" s="432">
        <f t="shared" si="24"/>
        <v>0</v>
      </c>
      <c r="O139" s="432"/>
      <c r="P139" s="433"/>
      <c r="Q139" s="433"/>
      <c r="R139" s="433"/>
      <c r="S139" s="433"/>
      <c r="T139" s="434"/>
    </row>
    <row r="140" spans="4:21">
      <c r="D140" s="63"/>
      <c r="L140" s="9"/>
      <c r="M140" s="67"/>
      <c r="N140" s="432">
        <f t="shared" si="24"/>
        <v>0</v>
      </c>
      <c r="O140" s="432"/>
      <c r="P140" s="433"/>
      <c r="Q140" s="433"/>
      <c r="R140" s="433"/>
      <c r="S140" s="433"/>
      <c r="T140" s="434"/>
    </row>
    <row r="141" spans="4:21">
      <c r="D141" s="63"/>
      <c r="L141" s="9"/>
      <c r="M141" s="67"/>
      <c r="N141" s="432">
        <f t="shared" si="24"/>
        <v>0</v>
      </c>
      <c r="O141" s="432"/>
      <c r="P141" s="433"/>
      <c r="Q141" s="433"/>
      <c r="R141" s="433"/>
      <c r="S141" s="433"/>
      <c r="T141" s="434"/>
    </row>
    <row r="142" spans="4:21">
      <c r="D142" s="63"/>
      <c r="M142" s="67"/>
      <c r="N142" s="432">
        <f t="shared" si="24"/>
        <v>0</v>
      </c>
      <c r="O142" s="432"/>
      <c r="P142" s="433"/>
      <c r="Q142" s="433"/>
      <c r="R142" s="433"/>
      <c r="S142" s="433"/>
      <c r="T142" s="434"/>
    </row>
    <row r="143" spans="4:21" ht="13" thickBot="1">
      <c r="D143" s="63"/>
      <c r="M143" s="67"/>
      <c r="N143" s="442">
        <f t="shared" si="24"/>
        <v>0</v>
      </c>
      <c r="O143" s="442"/>
      <c r="P143" s="442"/>
      <c r="Q143" s="442"/>
      <c r="R143" s="442"/>
      <c r="S143" s="442"/>
      <c r="T143" s="443"/>
    </row>
    <row r="144" spans="4:21" ht="13.5" thickBot="1">
      <c r="D144" s="68"/>
      <c r="E144" s="69" t="s">
        <v>607</v>
      </c>
      <c r="F144" s="69"/>
      <c r="G144" s="69"/>
      <c r="H144" s="69"/>
      <c r="I144" s="69"/>
      <c r="J144" s="69"/>
      <c r="K144" s="69"/>
      <c r="L144" s="69"/>
      <c r="M144" s="69"/>
      <c r="N144" s="435">
        <f>SUM(N135:O143)</f>
        <v>30000</v>
      </c>
      <c r="O144" s="435"/>
      <c r="P144" s="81"/>
      <c r="Q144" s="81"/>
      <c r="R144" s="81"/>
      <c r="S144" s="81"/>
      <c r="T144" s="70"/>
    </row>
    <row r="145" spans="3:23" ht="13" thickBot="1">
      <c r="D145" s="63"/>
      <c r="E145" s="9" t="s">
        <v>608</v>
      </c>
      <c r="N145" s="436"/>
      <c r="O145" s="436"/>
      <c r="P145" s="436"/>
      <c r="Q145" s="436"/>
      <c r="R145" s="436"/>
      <c r="S145" s="436"/>
      <c r="T145" s="437"/>
    </row>
    <row r="146" spans="3:23" ht="13.5" thickBot="1">
      <c r="D146" s="68"/>
      <c r="E146" s="69" t="s">
        <v>607</v>
      </c>
      <c r="F146" s="69"/>
      <c r="G146" s="69"/>
      <c r="H146" s="69"/>
      <c r="I146" s="69"/>
      <c r="J146" s="69"/>
      <c r="K146" s="69"/>
      <c r="L146" s="69"/>
      <c r="M146" s="69"/>
      <c r="N146" s="435">
        <f>SUM(N144:O145)</f>
        <v>30000</v>
      </c>
      <c r="O146" s="435"/>
      <c r="P146" s="81"/>
      <c r="Q146" s="81"/>
      <c r="R146" s="81"/>
      <c r="S146" s="81"/>
      <c r="T146" s="70"/>
    </row>
    <row r="147" spans="3:23">
      <c r="D147" s="63"/>
      <c r="E147" s="9" t="s">
        <v>123</v>
      </c>
      <c r="K147" s="71">
        <v>1.15E-2</v>
      </c>
      <c r="N147" s="432">
        <f>$W155*$K147</f>
        <v>402.5</v>
      </c>
      <c r="O147" s="432"/>
      <c r="P147" s="439"/>
      <c r="Q147" s="439"/>
      <c r="R147" s="439"/>
      <c r="S147" s="439"/>
      <c r="T147" s="440"/>
    </row>
    <row r="148" spans="3:23">
      <c r="D148" s="63"/>
      <c r="E148" s="9" t="s">
        <v>124</v>
      </c>
      <c r="K148" s="78">
        <v>2E-3</v>
      </c>
      <c r="N148" s="432">
        <f>$W155*$K148</f>
        <v>70</v>
      </c>
      <c r="O148" s="432"/>
      <c r="P148" s="432"/>
      <c r="Q148" s="432"/>
      <c r="R148" s="432"/>
      <c r="S148" s="432"/>
      <c r="T148" s="441"/>
    </row>
    <row r="149" spans="3:23">
      <c r="D149" s="63"/>
      <c r="E149" s="9" t="s">
        <v>609</v>
      </c>
      <c r="K149" s="78">
        <v>3.8899999999999998E-3</v>
      </c>
      <c r="N149" s="432">
        <f>$W155*$K149</f>
        <v>136.15</v>
      </c>
      <c r="O149" s="432"/>
      <c r="P149" s="432"/>
      <c r="Q149" s="432"/>
      <c r="R149" s="432"/>
      <c r="S149" s="432"/>
      <c r="T149" s="441"/>
    </row>
    <row r="150" spans="3:23">
      <c r="D150" s="63"/>
      <c r="E150" s="9" t="s">
        <v>610</v>
      </c>
      <c r="K150" s="79">
        <v>1.2999999999999999E-2</v>
      </c>
      <c r="N150" s="432">
        <f>N144*$K150</f>
        <v>390</v>
      </c>
      <c r="O150" s="432"/>
      <c r="P150" s="432"/>
      <c r="Q150" s="432"/>
      <c r="R150" s="432"/>
      <c r="S150" s="432"/>
      <c r="T150" s="441"/>
    </row>
    <row r="151" spans="3:23" ht="13" thickBot="1">
      <c r="D151" s="63"/>
      <c r="E151" s="9" t="s">
        <v>611</v>
      </c>
      <c r="K151" s="80">
        <v>0</v>
      </c>
      <c r="N151" s="432">
        <f>N145*$K151</f>
        <v>0</v>
      </c>
      <c r="O151" s="432"/>
      <c r="P151" s="432"/>
      <c r="Q151" s="432"/>
      <c r="R151" s="432"/>
      <c r="S151" s="432"/>
      <c r="T151" s="441"/>
    </row>
    <row r="152" spans="3:23" ht="13.5" thickBot="1">
      <c r="D152" s="68"/>
      <c r="E152" s="69" t="s">
        <v>607</v>
      </c>
      <c r="F152" s="69"/>
      <c r="G152" s="69"/>
      <c r="H152" s="69"/>
      <c r="I152" s="69"/>
      <c r="J152" s="69"/>
      <c r="K152" s="69"/>
      <c r="L152" s="69"/>
      <c r="M152" s="69"/>
      <c r="N152" s="435">
        <f>SUM(N146:O151)</f>
        <v>30998.65</v>
      </c>
      <c r="O152" s="435"/>
      <c r="P152" s="81"/>
      <c r="Q152" s="81"/>
      <c r="R152" s="81"/>
      <c r="S152" s="81"/>
      <c r="T152" s="70"/>
    </row>
    <row r="153" spans="3:23">
      <c r="D153" s="63"/>
      <c r="E153" s="9" t="s">
        <v>612</v>
      </c>
      <c r="K153" s="72">
        <v>0</v>
      </c>
      <c r="N153" s="439">
        <f>N152*$K153</f>
        <v>0</v>
      </c>
      <c r="O153" s="439"/>
      <c r="P153" s="439"/>
      <c r="Q153" s="439"/>
      <c r="R153" s="439"/>
      <c r="S153" s="439"/>
      <c r="T153" s="440"/>
    </row>
    <row r="154" spans="3:23" ht="13" thickBot="1">
      <c r="D154" s="63"/>
      <c r="E154" s="9" t="s">
        <v>613</v>
      </c>
      <c r="K154" s="72">
        <v>0.03</v>
      </c>
      <c r="N154" s="442">
        <f>N152*$K154</f>
        <v>929.95950000000005</v>
      </c>
      <c r="O154" s="442"/>
      <c r="P154" s="442"/>
      <c r="Q154" s="442"/>
      <c r="R154" s="442"/>
      <c r="S154" s="442"/>
      <c r="T154" s="443"/>
    </row>
    <row r="155" spans="3:23" ht="13.5" thickBot="1">
      <c r="C155" s="1">
        <v>4</v>
      </c>
      <c r="D155" s="68"/>
      <c r="E155" s="69" t="s">
        <v>607</v>
      </c>
      <c r="F155" s="69"/>
      <c r="G155" s="69"/>
      <c r="H155" s="69"/>
      <c r="I155" s="69"/>
      <c r="J155" s="69"/>
      <c r="K155" s="69"/>
      <c r="L155" s="69"/>
      <c r="M155" s="69"/>
      <c r="N155" s="435">
        <f>SUM(N152:O154)</f>
        <v>31928.609500000002</v>
      </c>
      <c r="O155" s="435"/>
      <c r="P155" s="81"/>
      <c r="Q155" s="81"/>
      <c r="R155" s="81"/>
      <c r="S155" s="81"/>
      <c r="T155" s="70"/>
      <c r="V155" s="76" t="s">
        <v>614</v>
      </c>
      <c r="W155">
        <v>35000</v>
      </c>
    </row>
    <row r="156" spans="3:23" ht="13" thickBot="1">
      <c r="D156" s="63"/>
      <c r="E156" s="9" t="s">
        <v>615</v>
      </c>
      <c r="K156" s="72">
        <v>3.7499999999999999E-2</v>
      </c>
      <c r="N156" s="436">
        <f>N155*$K156</f>
        <v>1197.3228562500001</v>
      </c>
      <c r="O156" s="436"/>
      <c r="P156" s="436"/>
      <c r="Q156" s="436"/>
      <c r="R156" s="436"/>
      <c r="S156" s="436"/>
      <c r="T156" s="437"/>
    </row>
    <row r="157" spans="3:23" ht="13.5" thickBot="1">
      <c r="D157" s="68"/>
      <c r="E157" s="69" t="s">
        <v>607</v>
      </c>
      <c r="F157" s="69"/>
      <c r="G157" s="69"/>
      <c r="H157" s="69"/>
      <c r="I157" s="69"/>
      <c r="J157" s="69"/>
      <c r="K157" s="69"/>
      <c r="L157" s="69"/>
      <c r="M157" s="69"/>
      <c r="N157" s="435">
        <f>SUM(N155:O156)</f>
        <v>33125.932356249999</v>
      </c>
      <c r="O157" s="435"/>
      <c r="P157" s="81"/>
      <c r="Q157" s="81"/>
      <c r="R157" s="81"/>
      <c r="S157" s="81"/>
      <c r="T157" s="70"/>
    </row>
    <row r="158" spans="3:23" ht="13" thickBot="1">
      <c r="D158" s="63"/>
      <c r="E158" s="9" t="s">
        <v>616</v>
      </c>
      <c r="K158" s="72">
        <v>0</v>
      </c>
      <c r="N158" s="436">
        <f>N157*$K158</f>
        <v>0</v>
      </c>
      <c r="O158" s="436"/>
      <c r="P158" s="436"/>
      <c r="Q158" s="436"/>
      <c r="R158" s="436"/>
      <c r="S158" s="436"/>
      <c r="T158" s="437"/>
    </row>
    <row r="159" spans="3:23" ht="13.5" thickBot="1">
      <c r="D159" s="73"/>
      <c r="E159" s="74" t="s">
        <v>18</v>
      </c>
      <c r="F159" s="74"/>
      <c r="G159" s="74"/>
      <c r="H159" s="74"/>
      <c r="I159" s="74"/>
      <c r="J159" s="74"/>
      <c r="K159" s="74"/>
      <c r="L159" s="74"/>
      <c r="M159" s="74"/>
      <c r="N159" s="438">
        <f>SUM(N157:O158)</f>
        <v>33125.932356249999</v>
      </c>
      <c r="O159" s="438"/>
      <c r="P159" s="82"/>
      <c r="Q159" s="82"/>
      <c r="R159" s="82"/>
      <c r="S159" s="82"/>
      <c r="T159" s="75"/>
    </row>
    <row r="160" spans="3:23" ht="13" thickTop="1"/>
    <row r="161" spans="4:20" ht="13" thickBot="1"/>
    <row r="162" spans="4:20" ht="13" thickTop="1">
      <c r="D162" s="59" t="s">
        <v>572</v>
      </c>
      <c r="E162" s="60" t="s">
        <v>573</v>
      </c>
      <c r="F162" s="61"/>
      <c r="G162" s="61"/>
      <c r="H162" s="61"/>
      <c r="I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2"/>
    </row>
    <row r="163" spans="4:20">
      <c r="D163" s="63" t="str">
        <f>D12</f>
        <v>E</v>
      </c>
      <c r="E163" t="str">
        <f>E12</f>
        <v>Retention Pond in lieu of Detention Pond</v>
      </c>
      <c r="T163" s="64"/>
    </row>
    <row r="164" spans="4:20">
      <c r="D164" s="65"/>
      <c r="E164" s="66" t="s">
        <v>600</v>
      </c>
      <c r="F164" s="66" t="s">
        <v>601</v>
      </c>
      <c r="G164" s="45"/>
      <c r="H164" s="45"/>
      <c r="I164" s="45"/>
      <c r="J164" s="45"/>
      <c r="K164" s="374" t="s">
        <v>602</v>
      </c>
      <c r="L164" s="374" t="s">
        <v>603</v>
      </c>
      <c r="M164" s="374" t="s">
        <v>604</v>
      </c>
      <c r="N164" s="444" t="s">
        <v>605</v>
      </c>
      <c r="O164" s="444"/>
      <c r="P164" s="444" t="s">
        <v>606</v>
      </c>
      <c r="Q164" s="444"/>
      <c r="R164" s="444"/>
      <c r="S164" s="444"/>
      <c r="T164" s="445"/>
    </row>
    <row r="165" spans="4:20">
      <c r="D165" s="63"/>
      <c r="M165" s="67"/>
      <c r="N165" s="446">
        <f t="shared" ref="N165" si="25">K165*M165</f>
        <v>0</v>
      </c>
      <c r="O165" s="446"/>
      <c r="P165" s="446"/>
      <c r="Q165" s="446"/>
      <c r="R165" s="446"/>
      <c r="S165" s="446"/>
      <c r="T165" s="447"/>
    </row>
    <row r="166" spans="4:20">
      <c r="D166" s="63"/>
      <c r="F166" s="9"/>
      <c r="L166" s="9"/>
      <c r="M166" s="67"/>
      <c r="N166" s="432">
        <f>K166*M166</f>
        <v>0</v>
      </c>
      <c r="O166" s="432"/>
      <c r="P166" s="433"/>
      <c r="Q166" s="433"/>
      <c r="R166" s="433"/>
      <c r="S166" s="433"/>
      <c r="T166" s="434"/>
    </row>
    <row r="167" spans="4:20">
      <c r="D167" s="63"/>
      <c r="E167" s="9"/>
      <c r="F167" s="9" t="s">
        <v>837</v>
      </c>
      <c r="K167">
        <v>22530</v>
      </c>
      <c r="L167" s="9" t="s">
        <v>5</v>
      </c>
      <c r="M167" s="67">
        <v>2</v>
      </c>
      <c r="N167" s="432">
        <f t="shared" ref="N167:N172" si="26">K167*M167</f>
        <v>45060</v>
      </c>
      <c r="O167" s="432"/>
      <c r="P167" s="433"/>
      <c r="Q167" s="433"/>
      <c r="R167" s="433"/>
      <c r="S167" s="433"/>
      <c r="T167" s="434"/>
    </row>
    <row r="168" spans="4:20">
      <c r="D168" s="63"/>
      <c r="F168" s="9" t="s">
        <v>838</v>
      </c>
      <c r="K168">
        <v>1</v>
      </c>
      <c r="L168" s="9" t="s">
        <v>782</v>
      </c>
      <c r="M168" s="67">
        <v>125000</v>
      </c>
      <c r="N168" s="432">
        <f t="shared" si="26"/>
        <v>125000</v>
      </c>
      <c r="O168" s="432"/>
      <c r="P168" s="433"/>
      <c r="Q168" s="433"/>
      <c r="R168" s="433"/>
      <c r="S168" s="433"/>
      <c r="T168" s="434"/>
    </row>
    <row r="169" spans="4:20">
      <c r="D169" s="63"/>
      <c r="F169" s="9"/>
      <c r="L169" s="9"/>
      <c r="M169" s="67"/>
      <c r="N169" s="432">
        <f t="shared" si="26"/>
        <v>0</v>
      </c>
      <c r="O169" s="432"/>
      <c r="P169" s="433"/>
      <c r="Q169" s="433"/>
      <c r="R169" s="433"/>
      <c r="S169" s="433"/>
      <c r="T169" s="434"/>
    </row>
    <row r="170" spans="4:20">
      <c r="D170" s="63"/>
      <c r="F170" s="9"/>
      <c r="L170" s="9"/>
      <c r="M170" s="67"/>
      <c r="N170" s="432">
        <f t="shared" si="26"/>
        <v>0</v>
      </c>
      <c r="O170" s="432"/>
      <c r="P170" s="433"/>
      <c r="Q170" s="433"/>
      <c r="R170" s="433"/>
      <c r="S170" s="433"/>
      <c r="T170" s="434"/>
    </row>
    <row r="171" spans="4:20">
      <c r="D171" s="63"/>
      <c r="M171" s="67"/>
      <c r="N171" s="432">
        <f t="shared" si="26"/>
        <v>0</v>
      </c>
      <c r="O171" s="432"/>
      <c r="P171" s="433"/>
      <c r="Q171" s="433"/>
      <c r="R171" s="433"/>
      <c r="S171" s="433"/>
      <c r="T171" s="434"/>
    </row>
    <row r="172" spans="4:20" ht="13" thickBot="1">
      <c r="D172" s="63"/>
      <c r="M172" s="67"/>
      <c r="N172" s="442">
        <f t="shared" si="26"/>
        <v>0</v>
      </c>
      <c r="O172" s="442"/>
      <c r="P172" s="442"/>
      <c r="Q172" s="442"/>
      <c r="R172" s="442"/>
      <c r="S172" s="442"/>
      <c r="T172" s="443"/>
    </row>
    <row r="173" spans="4:20" ht="13.5" thickBot="1">
      <c r="D173" s="68"/>
      <c r="E173" s="69" t="s">
        <v>607</v>
      </c>
      <c r="F173" s="69"/>
      <c r="G173" s="69"/>
      <c r="H173" s="69"/>
      <c r="I173" s="69"/>
      <c r="J173" s="69"/>
      <c r="K173" s="69"/>
      <c r="L173" s="69"/>
      <c r="M173" s="69"/>
      <c r="N173" s="435">
        <f>SUM(N164:O172)</f>
        <v>170060</v>
      </c>
      <c r="O173" s="435"/>
      <c r="P173" s="81"/>
      <c r="Q173" s="81"/>
      <c r="R173" s="81"/>
      <c r="S173" s="81"/>
      <c r="T173" s="70"/>
    </row>
    <row r="174" spans="4:20" ht="13" thickBot="1">
      <c r="D174" s="63"/>
      <c r="E174" s="9" t="s">
        <v>608</v>
      </c>
      <c r="N174" s="436"/>
      <c r="O174" s="436"/>
      <c r="P174" s="436"/>
      <c r="Q174" s="436"/>
      <c r="R174" s="436"/>
      <c r="S174" s="436"/>
      <c r="T174" s="437"/>
    </row>
    <row r="175" spans="4:20" ht="13.5" thickBot="1">
      <c r="D175" s="68"/>
      <c r="E175" s="69" t="s">
        <v>607</v>
      </c>
      <c r="F175" s="69"/>
      <c r="G175" s="69"/>
      <c r="H175" s="69"/>
      <c r="I175" s="69"/>
      <c r="J175" s="69"/>
      <c r="K175" s="69"/>
      <c r="L175" s="69"/>
      <c r="M175" s="69"/>
      <c r="N175" s="435">
        <f>SUM(N173:O174)</f>
        <v>170060</v>
      </c>
      <c r="O175" s="435"/>
      <c r="P175" s="81"/>
      <c r="Q175" s="81"/>
      <c r="R175" s="81"/>
      <c r="S175" s="81"/>
      <c r="T175" s="70"/>
    </row>
    <row r="176" spans="4:20">
      <c r="D176" s="63"/>
      <c r="E176" s="9" t="s">
        <v>123</v>
      </c>
      <c r="K176" s="71">
        <v>1.15E-2</v>
      </c>
      <c r="N176" s="432">
        <f>$W184*$K176</f>
        <v>2242.5</v>
      </c>
      <c r="O176" s="432"/>
      <c r="P176" s="439"/>
      <c r="Q176" s="439"/>
      <c r="R176" s="439"/>
      <c r="S176" s="439"/>
      <c r="T176" s="440"/>
    </row>
    <row r="177" spans="3:23">
      <c r="D177" s="63"/>
      <c r="E177" s="9" t="s">
        <v>124</v>
      </c>
      <c r="K177" s="78">
        <v>2E-3</v>
      </c>
      <c r="N177" s="432">
        <f>$W184*$K177</f>
        <v>390</v>
      </c>
      <c r="O177" s="432"/>
      <c r="P177" s="432"/>
      <c r="Q177" s="432"/>
      <c r="R177" s="432"/>
      <c r="S177" s="432"/>
      <c r="T177" s="441"/>
    </row>
    <row r="178" spans="3:23">
      <c r="D178" s="63"/>
      <c r="E178" s="9" t="s">
        <v>609</v>
      </c>
      <c r="K178" s="78">
        <v>3.8899999999999998E-3</v>
      </c>
      <c r="N178" s="432">
        <f>$W184*$K178</f>
        <v>758.55</v>
      </c>
      <c r="O178" s="432"/>
      <c r="P178" s="432"/>
      <c r="Q178" s="432"/>
      <c r="R178" s="432"/>
      <c r="S178" s="432"/>
      <c r="T178" s="441"/>
    </row>
    <row r="179" spans="3:23">
      <c r="D179" s="63"/>
      <c r="E179" s="9" t="s">
        <v>610</v>
      </c>
      <c r="K179" s="79">
        <v>1.2999999999999999E-2</v>
      </c>
      <c r="N179" s="432">
        <f>N173*$K179</f>
        <v>2210.7799999999997</v>
      </c>
      <c r="O179" s="432"/>
      <c r="P179" s="432"/>
      <c r="Q179" s="432"/>
      <c r="R179" s="432"/>
      <c r="S179" s="432"/>
      <c r="T179" s="441"/>
    </row>
    <row r="180" spans="3:23" ht="13" thickBot="1">
      <c r="D180" s="63"/>
      <c r="E180" s="9" t="s">
        <v>611</v>
      </c>
      <c r="K180" s="80">
        <v>0</v>
      </c>
      <c r="N180" s="432">
        <f>N174*$K180</f>
        <v>0</v>
      </c>
      <c r="O180" s="432"/>
      <c r="P180" s="432"/>
      <c r="Q180" s="432"/>
      <c r="R180" s="432"/>
      <c r="S180" s="432"/>
      <c r="T180" s="441"/>
    </row>
    <row r="181" spans="3:23" ht="13.5" thickBot="1">
      <c r="D181" s="68"/>
      <c r="E181" s="69" t="s">
        <v>607</v>
      </c>
      <c r="F181" s="69"/>
      <c r="G181" s="69"/>
      <c r="H181" s="69"/>
      <c r="I181" s="69"/>
      <c r="J181" s="69"/>
      <c r="K181" s="69"/>
      <c r="L181" s="69"/>
      <c r="M181" s="69"/>
      <c r="N181" s="435">
        <f>SUM(N175:O180)</f>
        <v>175661.83</v>
      </c>
      <c r="O181" s="435"/>
      <c r="P181" s="81"/>
      <c r="Q181" s="81"/>
      <c r="R181" s="81"/>
      <c r="S181" s="81"/>
      <c r="T181" s="70"/>
    </row>
    <row r="182" spans="3:23">
      <c r="D182" s="63"/>
      <c r="E182" s="9" t="s">
        <v>612</v>
      </c>
      <c r="K182" s="72">
        <v>0</v>
      </c>
      <c r="N182" s="439">
        <f>N181*$K182</f>
        <v>0</v>
      </c>
      <c r="O182" s="439"/>
      <c r="P182" s="439"/>
      <c r="Q182" s="439"/>
      <c r="R182" s="439"/>
      <c r="S182" s="439"/>
      <c r="T182" s="440"/>
    </row>
    <row r="183" spans="3:23" ht="13" thickBot="1">
      <c r="D183" s="63"/>
      <c r="E183" s="9" t="s">
        <v>613</v>
      </c>
      <c r="K183" s="72">
        <v>0.03</v>
      </c>
      <c r="N183" s="442">
        <f>N181*$K183</f>
        <v>5269.8548999999994</v>
      </c>
      <c r="O183" s="442"/>
      <c r="P183" s="442"/>
      <c r="Q183" s="442"/>
      <c r="R183" s="442"/>
      <c r="S183" s="442"/>
      <c r="T183" s="443"/>
    </row>
    <row r="184" spans="3:23" ht="13.5" thickBot="1">
      <c r="C184" s="1">
        <v>5</v>
      </c>
      <c r="D184" s="68"/>
      <c r="E184" s="69" t="s">
        <v>607</v>
      </c>
      <c r="F184" s="69"/>
      <c r="G184" s="69"/>
      <c r="H184" s="69"/>
      <c r="I184" s="69"/>
      <c r="J184" s="69"/>
      <c r="K184" s="69"/>
      <c r="L184" s="69"/>
      <c r="M184" s="69"/>
      <c r="N184" s="435">
        <f>SUM(N181:O183)</f>
        <v>180931.68489999999</v>
      </c>
      <c r="O184" s="435"/>
      <c r="P184" s="81"/>
      <c r="Q184" s="81"/>
      <c r="R184" s="81"/>
      <c r="S184" s="81"/>
      <c r="T184" s="70"/>
      <c r="V184" s="76" t="s">
        <v>614</v>
      </c>
      <c r="W184">
        <v>195000</v>
      </c>
    </row>
    <row r="185" spans="3:23" ht="13" thickBot="1">
      <c r="C185" s="1"/>
      <c r="D185" s="63"/>
      <c r="E185" s="9" t="s">
        <v>615</v>
      </c>
      <c r="K185" s="72">
        <v>3.7499999999999999E-2</v>
      </c>
      <c r="N185" s="436">
        <f>N184*$K185</f>
        <v>6784.9381837499996</v>
      </c>
      <c r="O185" s="436"/>
      <c r="P185" s="436"/>
      <c r="Q185" s="436"/>
      <c r="R185" s="436"/>
      <c r="S185" s="436"/>
      <c r="T185" s="437"/>
    </row>
    <row r="186" spans="3:23" ht="13.5" thickBot="1">
      <c r="C186" s="1"/>
      <c r="D186" s="68"/>
      <c r="E186" s="69" t="s">
        <v>607</v>
      </c>
      <c r="F186" s="69"/>
      <c r="G186" s="69"/>
      <c r="H186" s="69"/>
      <c r="I186" s="69"/>
      <c r="J186" s="69"/>
      <c r="K186" s="69"/>
      <c r="L186" s="69"/>
      <c r="M186" s="69"/>
      <c r="N186" s="435">
        <f>SUM(N184:O185)</f>
        <v>187716.62308374999</v>
      </c>
      <c r="O186" s="435"/>
      <c r="P186" s="81"/>
      <c r="Q186" s="81"/>
      <c r="R186" s="81"/>
      <c r="S186" s="81"/>
      <c r="T186" s="70"/>
    </row>
    <row r="187" spans="3:23" ht="13" thickBot="1">
      <c r="D187" s="63"/>
      <c r="E187" s="9" t="s">
        <v>616</v>
      </c>
      <c r="K187" s="72">
        <v>0</v>
      </c>
      <c r="N187" s="436">
        <f>N186*$K187</f>
        <v>0</v>
      </c>
      <c r="O187" s="436"/>
      <c r="P187" s="436"/>
      <c r="Q187" s="436"/>
      <c r="R187" s="436"/>
      <c r="S187" s="436"/>
      <c r="T187" s="437"/>
    </row>
    <row r="188" spans="3:23" ht="13.5" thickBot="1">
      <c r="D188" s="73"/>
      <c r="E188" s="74" t="s">
        <v>18</v>
      </c>
      <c r="F188" s="74"/>
      <c r="G188" s="74"/>
      <c r="H188" s="74"/>
      <c r="I188" s="74"/>
      <c r="J188" s="74"/>
      <c r="K188" s="74"/>
      <c r="L188" s="74"/>
      <c r="M188" s="74"/>
      <c r="N188" s="438">
        <f>SUM(N186:O187)</f>
        <v>187716.62308374999</v>
      </c>
      <c r="O188" s="438"/>
      <c r="P188" s="82"/>
      <c r="Q188" s="82"/>
      <c r="R188" s="82"/>
      <c r="S188" s="82"/>
      <c r="T188" s="75"/>
    </row>
    <row r="189" spans="3:23" ht="13" thickTop="1"/>
    <row r="190" spans="3:23" ht="13" thickBot="1"/>
    <row r="191" spans="3:23" ht="13" thickTop="1">
      <c r="D191" s="59" t="s">
        <v>572</v>
      </c>
      <c r="E191" s="60" t="s">
        <v>573</v>
      </c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2"/>
    </row>
    <row r="192" spans="3:23">
      <c r="D192" s="63" t="str">
        <f>D13</f>
        <v>F</v>
      </c>
      <c r="E192" t="str">
        <f>E13</f>
        <v>Arched Gateways</v>
      </c>
      <c r="T192" s="64"/>
    </row>
    <row r="193" spans="4:20">
      <c r="D193" s="65"/>
      <c r="E193" s="66" t="s">
        <v>600</v>
      </c>
      <c r="F193" s="66" t="s">
        <v>601</v>
      </c>
      <c r="G193" s="45"/>
      <c r="H193" s="45"/>
      <c r="I193" s="45"/>
      <c r="J193" s="45"/>
      <c r="K193" s="374" t="s">
        <v>602</v>
      </c>
      <c r="L193" s="374" t="s">
        <v>603</v>
      </c>
      <c r="M193" s="374" t="s">
        <v>604</v>
      </c>
      <c r="N193" s="444" t="s">
        <v>605</v>
      </c>
      <c r="O193" s="444"/>
      <c r="P193" s="444" t="s">
        <v>606</v>
      </c>
      <c r="Q193" s="444"/>
      <c r="R193" s="444"/>
      <c r="S193" s="444"/>
      <c r="T193" s="445"/>
    </row>
    <row r="194" spans="4:20">
      <c r="D194" s="63"/>
      <c r="M194" s="67"/>
      <c r="N194" s="446">
        <f t="shared" ref="N194" si="27">K194*M194</f>
        <v>0</v>
      </c>
      <c r="O194" s="446"/>
      <c r="P194" s="446"/>
      <c r="Q194" s="446"/>
      <c r="R194" s="446"/>
      <c r="S194" s="446"/>
      <c r="T194" s="447"/>
    </row>
    <row r="195" spans="4:20">
      <c r="D195" s="63"/>
      <c r="F195" s="9"/>
      <c r="L195" s="9"/>
      <c r="M195" s="67"/>
      <c r="N195" s="432">
        <f>K195*M195</f>
        <v>0</v>
      </c>
      <c r="O195" s="432"/>
      <c r="P195" s="433"/>
      <c r="Q195" s="433"/>
      <c r="R195" s="433"/>
      <c r="S195" s="433"/>
      <c r="T195" s="434"/>
    </row>
    <row r="196" spans="4:20">
      <c r="D196" s="63"/>
      <c r="E196" s="9"/>
      <c r="F196" s="9"/>
      <c r="K196">
        <v>3</v>
      </c>
      <c r="L196" s="9" t="s">
        <v>162</v>
      </c>
      <c r="M196" s="67">
        <v>15000</v>
      </c>
      <c r="N196" s="432">
        <f t="shared" ref="N196:N207" si="28">K196*M196</f>
        <v>45000</v>
      </c>
      <c r="O196" s="432"/>
      <c r="P196" s="433"/>
      <c r="Q196" s="433"/>
      <c r="R196" s="433"/>
      <c r="S196" s="433"/>
      <c r="T196" s="434"/>
    </row>
    <row r="197" spans="4:20">
      <c r="D197" s="63"/>
      <c r="F197" s="9"/>
      <c r="L197" s="9"/>
      <c r="M197" s="67"/>
      <c r="N197" s="432">
        <f t="shared" ref="N197:N198" si="29">K197*M197</f>
        <v>0</v>
      </c>
      <c r="O197" s="432"/>
      <c r="P197" s="433"/>
      <c r="Q197" s="433"/>
      <c r="R197" s="433"/>
      <c r="S197" s="433"/>
      <c r="T197" s="434"/>
    </row>
    <row r="198" spans="4:20">
      <c r="D198" s="63"/>
      <c r="F198" s="9"/>
      <c r="L198" s="9"/>
      <c r="M198" s="67"/>
      <c r="N198" s="432">
        <f t="shared" si="29"/>
        <v>0</v>
      </c>
      <c r="O198" s="432"/>
      <c r="P198" s="433"/>
      <c r="Q198" s="433"/>
      <c r="R198" s="433"/>
      <c r="S198" s="433"/>
      <c r="T198" s="434"/>
    </row>
    <row r="199" spans="4:20">
      <c r="D199" s="63"/>
      <c r="F199" s="9"/>
      <c r="L199" s="9"/>
      <c r="M199" s="67"/>
      <c r="N199" s="432">
        <f t="shared" ref="N199:N202" si="30">K199*M199</f>
        <v>0</v>
      </c>
      <c r="O199" s="432"/>
      <c r="P199" s="433"/>
      <c r="Q199" s="433"/>
      <c r="R199" s="433"/>
      <c r="S199" s="433"/>
      <c r="T199" s="434"/>
    </row>
    <row r="200" spans="4:20">
      <c r="D200" s="63"/>
      <c r="F200" s="9"/>
      <c r="L200" s="9"/>
      <c r="M200" s="67"/>
      <c r="N200" s="432">
        <f t="shared" si="30"/>
        <v>0</v>
      </c>
      <c r="O200" s="432"/>
      <c r="P200" s="433"/>
      <c r="Q200" s="433"/>
      <c r="R200" s="433"/>
      <c r="S200" s="433"/>
      <c r="T200" s="434"/>
    </row>
    <row r="201" spans="4:20">
      <c r="D201" s="63"/>
      <c r="F201" s="9"/>
      <c r="L201" s="9"/>
      <c r="M201" s="67"/>
      <c r="N201" s="432">
        <f t="shared" si="30"/>
        <v>0</v>
      </c>
      <c r="O201" s="432"/>
      <c r="P201" s="433"/>
      <c r="Q201" s="433"/>
      <c r="R201" s="433"/>
      <c r="S201" s="433"/>
      <c r="T201" s="434"/>
    </row>
    <row r="202" spans="4:20">
      <c r="D202" s="63"/>
      <c r="F202" s="9"/>
      <c r="L202" s="9"/>
      <c r="M202" s="67"/>
      <c r="N202" s="432">
        <f t="shared" si="30"/>
        <v>0</v>
      </c>
      <c r="O202" s="432"/>
      <c r="P202" s="433"/>
      <c r="Q202" s="433"/>
      <c r="R202" s="433"/>
      <c r="S202" s="433"/>
      <c r="T202" s="434"/>
    </row>
    <row r="203" spans="4:20">
      <c r="D203" s="63"/>
      <c r="F203" s="9"/>
      <c r="L203" s="9"/>
      <c r="M203" s="67"/>
      <c r="N203" s="432">
        <f t="shared" si="28"/>
        <v>0</v>
      </c>
      <c r="O203" s="432"/>
      <c r="P203" s="433"/>
      <c r="Q203" s="433"/>
      <c r="R203" s="433"/>
      <c r="S203" s="433"/>
      <c r="T203" s="434"/>
    </row>
    <row r="204" spans="4:20">
      <c r="D204" s="63"/>
      <c r="F204" s="9"/>
      <c r="L204" s="9"/>
      <c r="M204" s="67"/>
      <c r="N204" s="432">
        <f t="shared" si="28"/>
        <v>0</v>
      </c>
      <c r="O204" s="432"/>
      <c r="P204" s="433"/>
      <c r="Q204" s="433"/>
      <c r="R204" s="433"/>
      <c r="S204" s="433"/>
      <c r="T204" s="434"/>
    </row>
    <row r="205" spans="4:20">
      <c r="D205" s="63"/>
      <c r="F205" s="9"/>
      <c r="L205" s="9"/>
      <c r="M205" s="67"/>
      <c r="N205" s="432">
        <f t="shared" si="28"/>
        <v>0</v>
      </c>
      <c r="O205" s="432"/>
      <c r="P205" s="433"/>
      <c r="Q205" s="433"/>
      <c r="R205" s="433"/>
      <c r="S205" s="433"/>
      <c r="T205" s="434"/>
    </row>
    <row r="206" spans="4:20">
      <c r="D206" s="63"/>
      <c r="F206" s="9"/>
      <c r="L206" s="9"/>
      <c r="M206" s="67"/>
      <c r="N206" s="432">
        <f t="shared" si="28"/>
        <v>0</v>
      </c>
      <c r="O206" s="432"/>
      <c r="P206" s="433"/>
      <c r="Q206" s="433"/>
      <c r="R206" s="433"/>
      <c r="S206" s="433"/>
      <c r="T206" s="434"/>
    </row>
    <row r="207" spans="4:20" ht="13" thickBot="1">
      <c r="D207" s="63"/>
      <c r="M207" s="67"/>
      <c r="N207" s="442">
        <f t="shared" si="28"/>
        <v>0</v>
      </c>
      <c r="O207" s="442"/>
      <c r="P207" s="442"/>
      <c r="Q207" s="442"/>
      <c r="R207" s="442"/>
      <c r="S207" s="442"/>
      <c r="T207" s="443"/>
    </row>
    <row r="208" spans="4:20" ht="13.5" thickBot="1">
      <c r="D208" s="68"/>
      <c r="E208" s="69" t="s">
        <v>607</v>
      </c>
      <c r="F208" s="69"/>
      <c r="G208" s="69"/>
      <c r="H208" s="69"/>
      <c r="I208" s="69"/>
      <c r="J208" s="69"/>
      <c r="K208" s="69"/>
      <c r="L208" s="69"/>
      <c r="M208" s="69"/>
      <c r="N208" s="435">
        <f>SUM(N193:O207)</f>
        <v>45000</v>
      </c>
      <c r="O208" s="435"/>
      <c r="P208" s="81"/>
      <c r="Q208" s="81"/>
      <c r="R208" s="81"/>
      <c r="S208" s="81"/>
      <c r="T208" s="70"/>
    </row>
    <row r="209" spans="3:23" ht="13" thickBot="1">
      <c r="D209" s="63"/>
      <c r="E209" s="9" t="s">
        <v>608</v>
      </c>
      <c r="N209" s="436"/>
      <c r="O209" s="436"/>
      <c r="P209" s="436"/>
      <c r="Q209" s="436"/>
      <c r="R209" s="436"/>
      <c r="S209" s="436"/>
      <c r="T209" s="437"/>
    </row>
    <row r="210" spans="3:23" ht="13.5" thickBot="1">
      <c r="D210" s="68"/>
      <c r="E210" s="69" t="s">
        <v>607</v>
      </c>
      <c r="F210" s="69"/>
      <c r="G210" s="69"/>
      <c r="H210" s="69"/>
      <c r="I210" s="69"/>
      <c r="J210" s="69"/>
      <c r="K210" s="69"/>
      <c r="L210" s="69"/>
      <c r="M210" s="69"/>
      <c r="N210" s="435">
        <f>SUM(N208:O209)</f>
        <v>45000</v>
      </c>
      <c r="O210" s="435"/>
      <c r="P210" s="81"/>
      <c r="Q210" s="81"/>
      <c r="R210" s="81"/>
      <c r="S210" s="81"/>
      <c r="T210" s="70"/>
    </row>
    <row r="211" spans="3:23">
      <c r="D211" s="63"/>
      <c r="E211" s="9" t="s">
        <v>123</v>
      </c>
      <c r="K211" s="71">
        <v>1.15E-2</v>
      </c>
      <c r="N211" s="432">
        <f>$W219*$K211</f>
        <v>598</v>
      </c>
      <c r="O211" s="432"/>
      <c r="P211" s="439"/>
      <c r="Q211" s="439"/>
      <c r="R211" s="439"/>
      <c r="S211" s="439"/>
      <c r="T211" s="440"/>
    </row>
    <row r="212" spans="3:23">
      <c r="D212" s="63"/>
      <c r="E212" s="9" t="s">
        <v>124</v>
      </c>
      <c r="K212" s="78">
        <v>2E-3</v>
      </c>
      <c r="N212" s="432">
        <f>$W219*$K212</f>
        <v>104</v>
      </c>
      <c r="O212" s="432"/>
      <c r="P212" s="432"/>
      <c r="Q212" s="432"/>
      <c r="R212" s="432"/>
      <c r="S212" s="432"/>
      <c r="T212" s="441"/>
    </row>
    <row r="213" spans="3:23">
      <c r="D213" s="63"/>
      <c r="E213" s="9" t="s">
        <v>609</v>
      </c>
      <c r="K213" s="78">
        <v>3.8899999999999998E-3</v>
      </c>
      <c r="N213" s="432">
        <f>$W219*$K213</f>
        <v>202.28</v>
      </c>
      <c r="O213" s="432"/>
      <c r="P213" s="432"/>
      <c r="Q213" s="432"/>
      <c r="R213" s="432"/>
      <c r="S213" s="432"/>
      <c r="T213" s="441"/>
    </row>
    <row r="214" spans="3:23">
      <c r="D214" s="63"/>
      <c r="E214" s="9" t="s">
        <v>610</v>
      </c>
      <c r="K214" s="79">
        <v>1.2999999999999999E-2</v>
      </c>
      <c r="N214" s="432">
        <f>N208*$K214</f>
        <v>585</v>
      </c>
      <c r="O214" s="432"/>
      <c r="P214" s="432"/>
      <c r="Q214" s="432"/>
      <c r="R214" s="432"/>
      <c r="S214" s="432"/>
      <c r="T214" s="441"/>
    </row>
    <row r="215" spans="3:23" ht="13" thickBot="1">
      <c r="D215" s="63"/>
      <c r="E215" s="9" t="s">
        <v>611</v>
      </c>
      <c r="K215" s="80">
        <v>0</v>
      </c>
      <c r="N215" s="432">
        <f>N209*$K215</f>
        <v>0</v>
      </c>
      <c r="O215" s="432"/>
      <c r="P215" s="432"/>
      <c r="Q215" s="432"/>
      <c r="R215" s="432"/>
      <c r="S215" s="432"/>
      <c r="T215" s="441"/>
    </row>
    <row r="216" spans="3:23" ht="13.5" thickBot="1">
      <c r="D216" s="68"/>
      <c r="E216" s="69" t="s">
        <v>607</v>
      </c>
      <c r="F216" s="69"/>
      <c r="G216" s="69"/>
      <c r="H216" s="69"/>
      <c r="I216" s="69"/>
      <c r="J216" s="69"/>
      <c r="K216" s="69"/>
      <c r="L216" s="69"/>
      <c r="M216" s="69"/>
      <c r="N216" s="435">
        <f>SUM(N210:O215)</f>
        <v>46489.279999999999</v>
      </c>
      <c r="O216" s="435"/>
      <c r="P216" s="81"/>
      <c r="Q216" s="81"/>
      <c r="R216" s="81"/>
      <c r="S216" s="81"/>
      <c r="T216" s="70"/>
    </row>
    <row r="217" spans="3:23">
      <c r="D217" s="63"/>
      <c r="E217" s="9" t="s">
        <v>612</v>
      </c>
      <c r="K217" s="72">
        <v>0</v>
      </c>
      <c r="N217" s="439">
        <f>N216*$K217</f>
        <v>0</v>
      </c>
      <c r="O217" s="439"/>
      <c r="P217" s="439"/>
      <c r="Q217" s="439"/>
      <c r="R217" s="439"/>
      <c r="S217" s="439"/>
      <c r="T217" s="440"/>
    </row>
    <row r="218" spans="3:23" ht="13" thickBot="1">
      <c r="D218" s="63"/>
      <c r="E218" s="9" t="s">
        <v>613</v>
      </c>
      <c r="K218" s="72">
        <v>0.03</v>
      </c>
      <c r="N218" s="442">
        <f>N216*$K218</f>
        <v>1394.6784</v>
      </c>
      <c r="O218" s="442"/>
      <c r="P218" s="442"/>
      <c r="Q218" s="442"/>
      <c r="R218" s="442"/>
      <c r="S218" s="442"/>
      <c r="T218" s="443"/>
    </row>
    <row r="219" spans="3:23" ht="13.5" thickBot="1">
      <c r="C219" s="1">
        <v>6</v>
      </c>
      <c r="D219" s="68"/>
      <c r="E219" s="69" t="s">
        <v>607</v>
      </c>
      <c r="F219" s="69"/>
      <c r="G219" s="69"/>
      <c r="H219" s="69"/>
      <c r="I219" s="69"/>
      <c r="J219" s="69"/>
      <c r="K219" s="69"/>
      <c r="L219" s="69"/>
      <c r="M219" s="69"/>
      <c r="N219" s="435">
        <f>SUM(N216:O218)</f>
        <v>47883.958399999996</v>
      </c>
      <c r="O219" s="435"/>
      <c r="P219" s="81"/>
      <c r="Q219" s="81"/>
      <c r="R219" s="81"/>
      <c r="S219" s="81"/>
      <c r="T219" s="70"/>
      <c r="V219" s="76" t="s">
        <v>614</v>
      </c>
      <c r="W219">
        <v>52000</v>
      </c>
    </row>
    <row r="220" spans="3:23" ht="13" thickBot="1">
      <c r="D220" s="63"/>
      <c r="E220" s="9" t="s">
        <v>615</v>
      </c>
      <c r="K220" s="72">
        <v>3.7499999999999999E-2</v>
      </c>
      <c r="N220" s="436">
        <f>N219*$K220</f>
        <v>1795.6484399999997</v>
      </c>
      <c r="O220" s="436"/>
      <c r="P220" s="436"/>
      <c r="Q220" s="436"/>
      <c r="R220" s="436"/>
      <c r="S220" s="436"/>
      <c r="T220" s="437"/>
    </row>
    <row r="221" spans="3:23" ht="13.5" thickBot="1">
      <c r="D221" s="68"/>
      <c r="E221" s="69" t="s">
        <v>607</v>
      </c>
      <c r="F221" s="69"/>
      <c r="G221" s="69"/>
      <c r="H221" s="69"/>
      <c r="I221" s="69"/>
      <c r="J221" s="69"/>
      <c r="K221" s="69"/>
      <c r="L221" s="69"/>
      <c r="M221" s="69"/>
      <c r="N221" s="435">
        <f>SUM(N219:O220)</f>
        <v>49679.606839999993</v>
      </c>
      <c r="O221" s="435"/>
      <c r="P221" s="81"/>
      <c r="Q221" s="81"/>
      <c r="R221" s="81"/>
      <c r="S221" s="81"/>
      <c r="T221" s="70"/>
    </row>
    <row r="222" spans="3:23" ht="13" thickBot="1">
      <c r="D222" s="63"/>
      <c r="E222" s="9" t="s">
        <v>616</v>
      </c>
      <c r="K222" s="72">
        <v>0</v>
      </c>
      <c r="N222" s="436">
        <f>N221*$K222</f>
        <v>0</v>
      </c>
      <c r="O222" s="436"/>
      <c r="P222" s="436"/>
      <c r="Q222" s="436"/>
      <c r="R222" s="436"/>
      <c r="S222" s="436"/>
      <c r="T222" s="437"/>
    </row>
    <row r="223" spans="3:23" ht="13.5" thickBot="1">
      <c r="D223" s="73"/>
      <c r="E223" s="74" t="s">
        <v>18</v>
      </c>
      <c r="F223" s="74"/>
      <c r="G223" s="74"/>
      <c r="H223" s="74"/>
      <c r="I223" s="74"/>
      <c r="J223" s="74"/>
      <c r="K223" s="74"/>
      <c r="L223" s="74"/>
      <c r="M223" s="74"/>
      <c r="N223" s="438">
        <f>SUM(N221:O222)</f>
        <v>49679.606839999993</v>
      </c>
      <c r="O223" s="438"/>
      <c r="P223" s="82"/>
      <c r="Q223" s="82"/>
      <c r="R223" s="82"/>
      <c r="S223" s="82"/>
      <c r="T223" s="75"/>
    </row>
    <row r="224" spans="3:23" ht="13" thickTop="1"/>
    <row r="225" spans="4:20" ht="13" thickBot="1"/>
    <row r="226" spans="4:20" ht="13" thickTop="1">
      <c r="D226" s="59" t="s">
        <v>572</v>
      </c>
      <c r="E226" s="60" t="s">
        <v>573</v>
      </c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2"/>
    </row>
    <row r="227" spans="4:20">
      <c r="D227" s="63" t="str">
        <f>D14</f>
        <v>G</v>
      </c>
      <c r="E227" t="str">
        <f>E14</f>
        <v>Plumbing Isolation System</v>
      </c>
      <c r="T227" s="64"/>
    </row>
    <row r="228" spans="4:20">
      <c r="D228" s="65"/>
      <c r="E228" s="66" t="s">
        <v>600</v>
      </c>
      <c r="F228" s="66" t="s">
        <v>601</v>
      </c>
      <c r="G228" s="45"/>
      <c r="H228" s="45"/>
      <c r="I228" s="45"/>
      <c r="J228" s="45"/>
      <c r="K228" s="374" t="s">
        <v>602</v>
      </c>
      <c r="L228" s="374" t="s">
        <v>603</v>
      </c>
      <c r="M228" s="374" t="s">
        <v>604</v>
      </c>
      <c r="N228" s="444" t="s">
        <v>605</v>
      </c>
      <c r="O228" s="444"/>
      <c r="P228" s="444" t="s">
        <v>606</v>
      </c>
      <c r="Q228" s="444"/>
      <c r="R228" s="444"/>
      <c r="S228" s="444"/>
      <c r="T228" s="445"/>
    </row>
    <row r="229" spans="4:20">
      <c r="D229" s="63"/>
      <c r="M229" s="67"/>
      <c r="N229" s="446">
        <f t="shared" ref="N229" si="31">K229*M229</f>
        <v>0</v>
      </c>
      <c r="O229" s="446"/>
      <c r="P229" s="446"/>
      <c r="Q229" s="446"/>
      <c r="R229" s="446"/>
      <c r="S229" s="446"/>
      <c r="T229" s="447"/>
    </row>
    <row r="230" spans="4:20">
      <c r="D230" s="63"/>
      <c r="F230" s="9"/>
      <c r="L230" s="9"/>
      <c r="M230" s="67"/>
      <c r="N230" s="432">
        <f>K230*M230</f>
        <v>0</v>
      </c>
      <c r="O230" s="432"/>
      <c r="P230" s="433"/>
      <c r="Q230" s="433"/>
      <c r="R230" s="433"/>
      <c r="S230" s="433"/>
      <c r="T230" s="434"/>
    </row>
    <row r="231" spans="4:20">
      <c r="D231" s="63"/>
      <c r="E231" s="9"/>
      <c r="F231" s="9"/>
      <c r="K231">
        <v>1</v>
      </c>
      <c r="L231" s="9" t="s">
        <v>164</v>
      </c>
      <c r="M231" s="67">
        <v>150000</v>
      </c>
      <c r="N231" s="432">
        <f t="shared" ref="N231:N238" si="32">K231*M231</f>
        <v>150000</v>
      </c>
      <c r="O231" s="432"/>
      <c r="P231" s="433"/>
      <c r="Q231" s="433"/>
      <c r="R231" s="433"/>
      <c r="S231" s="433"/>
      <c r="T231" s="434"/>
    </row>
    <row r="232" spans="4:20">
      <c r="D232" s="63"/>
      <c r="F232" s="9"/>
      <c r="L232" s="9"/>
      <c r="M232" s="67"/>
      <c r="N232" s="432">
        <f t="shared" si="32"/>
        <v>0</v>
      </c>
      <c r="O232" s="432"/>
      <c r="P232" s="433"/>
      <c r="Q232" s="433"/>
      <c r="R232" s="433"/>
      <c r="S232" s="433"/>
      <c r="T232" s="434"/>
    </row>
    <row r="233" spans="4:20">
      <c r="D233" s="63"/>
      <c r="L233" s="9"/>
      <c r="M233" s="67"/>
      <c r="N233" s="432">
        <f t="shared" ref="N233:N234" si="33">K233*M233</f>
        <v>0</v>
      </c>
      <c r="O233" s="432"/>
      <c r="P233" s="433"/>
      <c r="Q233" s="433"/>
      <c r="R233" s="433"/>
      <c r="S233" s="433"/>
      <c r="T233" s="434"/>
    </row>
    <row r="234" spans="4:20">
      <c r="D234" s="63"/>
      <c r="L234" s="9"/>
      <c r="M234" s="67"/>
      <c r="N234" s="432">
        <f t="shared" si="33"/>
        <v>0</v>
      </c>
      <c r="O234" s="432"/>
      <c r="P234" s="433"/>
      <c r="Q234" s="433"/>
      <c r="R234" s="433"/>
      <c r="S234" s="433"/>
      <c r="T234" s="434"/>
    </row>
    <row r="235" spans="4:20">
      <c r="D235" s="63"/>
      <c r="L235" s="9"/>
      <c r="M235" s="67"/>
      <c r="N235" s="432">
        <f t="shared" si="32"/>
        <v>0</v>
      </c>
      <c r="O235" s="432"/>
      <c r="P235" s="433"/>
      <c r="Q235" s="433"/>
      <c r="R235" s="433"/>
      <c r="S235" s="433"/>
      <c r="T235" s="434"/>
    </row>
    <row r="236" spans="4:20">
      <c r="D236" s="63"/>
      <c r="L236" s="9"/>
      <c r="M236" s="67"/>
      <c r="N236" s="432">
        <f t="shared" si="32"/>
        <v>0</v>
      </c>
      <c r="O236" s="432"/>
      <c r="P236" s="433"/>
      <c r="Q236" s="433"/>
      <c r="R236" s="433"/>
      <c r="S236" s="433"/>
      <c r="T236" s="434"/>
    </row>
    <row r="237" spans="4:20">
      <c r="D237" s="63"/>
      <c r="M237" s="67"/>
      <c r="N237" s="432">
        <f t="shared" si="32"/>
        <v>0</v>
      </c>
      <c r="O237" s="432"/>
      <c r="P237" s="433"/>
      <c r="Q237" s="433"/>
      <c r="R237" s="433"/>
      <c r="S237" s="433"/>
      <c r="T237" s="434"/>
    </row>
    <row r="238" spans="4:20" ht="13" thickBot="1">
      <c r="D238" s="63"/>
      <c r="M238" s="67"/>
      <c r="N238" s="442">
        <f t="shared" si="32"/>
        <v>0</v>
      </c>
      <c r="O238" s="442"/>
      <c r="P238" s="442"/>
      <c r="Q238" s="442"/>
      <c r="R238" s="442"/>
      <c r="S238" s="442"/>
      <c r="T238" s="443"/>
    </row>
    <row r="239" spans="4:20" ht="13.5" thickBot="1">
      <c r="D239" s="68"/>
      <c r="E239" s="69" t="s">
        <v>607</v>
      </c>
      <c r="F239" s="69"/>
      <c r="G239" s="69"/>
      <c r="H239" s="69"/>
      <c r="I239" s="69"/>
      <c r="J239" s="69"/>
      <c r="K239" s="69"/>
      <c r="L239" s="69"/>
      <c r="M239" s="69"/>
      <c r="N239" s="435">
        <f>SUM(N228:O238)</f>
        <v>150000</v>
      </c>
      <c r="O239" s="435"/>
      <c r="P239" s="81"/>
      <c r="Q239" s="81"/>
      <c r="R239" s="81"/>
      <c r="S239" s="81"/>
      <c r="T239" s="70"/>
    </row>
    <row r="240" spans="4:20" ht="13" thickBot="1">
      <c r="D240" s="63"/>
      <c r="E240" s="9" t="s">
        <v>608</v>
      </c>
      <c r="N240" s="436"/>
      <c r="O240" s="436"/>
      <c r="P240" s="436"/>
      <c r="Q240" s="436"/>
      <c r="R240" s="436"/>
      <c r="S240" s="436"/>
      <c r="T240" s="437"/>
    </row>
    <row r="241" spans="3:23" ht="13.5" thickBot="1">
      <c r="D241" s="68"/>
      <c r="E241" s="69" t="s">
        <v>607</v>
      </c>
      <c r="F241" s="69"/>
      <c r="G241" s="69"/>
      <c r="H241" s="69"/>
      <c r="I241" s="69"/>
      <c r="J241" s="69"/>
      <c r="K241" s="69"/>
      <c r="L241" s="69"/>
      <c r="M241" s="69"/>
      <c r="N241" s="435">
        <f>SUM(N239:O240)</f>
        <v>150000</v>
      </c>
      <c r="O241" s="435"/>
      <c r="P241" s="81"/>
      <c r="Q241" s="81"/>
      <c r="R241" s="81"/>
      <c r="S241" s="81"/>
      <c r="T241" s="70"/>
    </row>
    <row r="242" spans="3:23">
      <c r="D242" s="63"/>
      <c r="E242" s="9" t="s">
        <v>123</v>
      </c>
      <c r="K242" s="71">
        <v>1.15E-2</v>
      </c>
      <c r="N242" s="432">
        <f>$W250*$K242</f>
        <v>1978</v>
      </c>
      <c r="O242" s="432"/>
      <c r="P242" s="439"/>
      <c r="Q242" s="439"/>
      <c r="R242" s="439"/>
      <c r="S242" s="439"/>
      <c r="T242" s="440"/>
    </row>
    <row r="243" spans="3:23">
      <c r="D243" s="63"/>
      <c r="E243" s="9" t="s">
        <v>124</v>
      </c>
      <c r="K243" s="78">
        <v>2E-3</v>
      </c>
      <c r="N243" s="432">
        <f>$W250*$K243</f>
        <v>344</v>
      </c>
      <c r="O243" s="432"/>
      <c r="P243" s="432"/>
      <c r="Q243" s="432"/>
      <c r="R243" s="432"/>
      <c r="S243" s="432"/>
      <c r="T243" s="441"/>
    </row>
    <row r="244" spans="3:23">
      <c r="D244" s="63"/>
      <c r="E244" s="9" t="s">
        <v>609</v>
      </c>
      <c r="K244" s="78">
        <v>3.8899999999999998E-3</v>
      </c>
      <c r="N244" s="432">
        <f>$W250*$K244</f>
        <v>669.07999999999993</v>
      </c>
      <c r="O244" s="432"/>
      <c r="P244" s="432"/>
      <c r="Q244" s="432"/>
      <c r="R244" s="432"/>
      <c r="S244" s="432"/>
      <c r="T244" s="441"/>
    </row>
    <row r="245" spans="3:23">
      <c r="D245" s="63"/>
      <c r="E245" s="9" t="s">
        <v>610</v>
      </c>
      <c r="K245" s="79">
        <v>1.2999999999999999E-2</v>
      </c>
      <c r="N245" s="432">
        <f>N239*$K245</f>
        <v>1950</v>
      </c>
      <c r="O245" s="432"/>
      <c r="P245" s="432"/>
      <c r="Q245" s="432"/>
      <c r="R245" s="432"/>
      <c r="S245" s="432"/>
      <c r="T245" s="441"/>
    </row>
    <row r="246" spans="3:23" ht="13" thickBot="1">
      <c r="D246" s="63"/>
      <c r="E246" s="9" t="s">
        <v>611</v>
      </c>
      <c r="K246" s="80">
        <v>0</v>
      </c>
      <c r="N246" s="432">
        <f>N240*$K246</f>
        <v>0</v>
      </c>
      <c r="O246" s="432"/>
      <c r="P246" s="432"/>
      <c r="Q246" s="432"/>
      <c r="R246" s="432"/>
      <c r="S246" s="432"/>
      <c r="T246" s="441"/>
    </row>
    <row r="247" spans="3:23" ht="13.5" thickBot="1">
      <c r="D247" s="68"/>
      <c r="E247" s="69" t="s">
        <v>607</v>
      </c>
      <c r="F247" s="69"/>
      <c r="G247" s="69"/>
      <c r="H247" s="69"/>
      <c r="I247" s="69"/>
      <c r="J247" s="69"/>
      <c r="K247" s="69"/>
      <c r="L247" s="69"/>
      <c r="M247" s="69"/>
      <c r="N247" s="435">
        <f>SUM(N241:O246)</f>
        <v>154941.07999999999</v>
      </c>
      <c r="O247" s="435"/>
      <c r="P247" s="81"/>
      <c r="Q247" s="81"/>
      <c r="R247" s="81"/>
      <c r="S247" s="81"/>
      <c r="T247" s="70"/>
    </row>
    <row r="248" spans="3:23">
      <c r="D248" s="63"/>
      <c r="E248" s="9" t="s">
        <v>612</v>
      </c>
      <c r="K248" s="72">
        <v>0</v>
      </c>
      <c r="N248" s="439">
        <f>N247*$K248</f>
        <v>0</v>
      </c>
      <c r="O248" s="439"/>
      <c r="P248" s="439"/>
      <c r="Q248" s="439"/>
      <c r="R248" s="439"/>
      <c r="S248" s="439"/>
      <c r="T248" s="440"/>
    </row>
    <row r="249" spans="3:23" ht="13" thickBot="1">
      <c r="D249" s="63"/>
      <c r="E249" s="9" t="s">
        <v>613</v>
      </c>
      <c r="K249" s="72">
        <v>0.03</v>
      </c>
      <c r="N249" s="442">
        <f>N247*$K249</f>
        <v>4648.2323999999999</v>
      </c>
      <c r="O249" s="442"/>
      <c r="P249" s="442"/>
      <c r="Q249" s="442"/>
      <c r="R249" s="442"/>
      <c r="S249" s="442"/>
      <c r="T249" s="443"/>
    </row>
    <row r="250" spans="3:23" ht="13.5" thickBot="1">
      <c r="C250" s="1">
        <v>7</v>
      </c>
      <c r="D250" s="68"/>
      <c r="E250" s="69" t="s">
        <v>607</v>
      </c>
      <c r="F250" s="69"/>
      <c r="G250" s="69"/>
      <c r="H250" s="69"/>
      <c r="I250" s="69"/>
      <c r="J250" s="69"/>
      <c r="K250" s="69"/>
      <c r="L250" s="69"/>
      <c r="M250" s="69"/>
      <c r="N250" s="435">
        <f>SUM(N247:O249)</f>
        <v>159589.3124</v>
      </c>
      <c r="O250" s="435"/>
      <c r="P250" s="81"/>
      <c r="Q250" s="81"/>
      <c r="R250" s="81"/>
      <c r="S250" s="81"/>
      <c r="T250" s="70"/>
      <c r="V250" s="76" t="s">
        <v>614</v>
      </c>
      <c r="W250">
        <v>172000</v>
      </c>
    </row>
    <row r="251" spans="3:23" ht="13" thickBot="1">
      <c r="C251" s="1"/>
      <c r="D251" s="63"/>
      <c r="E251" s="9" t="s">
        <v>615</v>
      </c>
      <c r="K251" s="72">
        <v>3.7499999999999999E-2</v>
      </c>
      <c r="N251" s="436">
        <f>N250*$K251</f>
        <v>5984.5992149999993</v>
      </c>
      <c r="O251" s="436"/>
      <c r="P251" s="436"/>
      <c r="Q251" s="436"/>
      <c r="R251" s="436"/>
      <c r="S251" s="436"/>
      <c r="T251" s="437"/>
    </row>
    <row r="252" spans="3:23" ht="13.5" thickBot="1">
      <c r="C252" s="1"/>
      <c r="D252" s="68"/>
      <c r="E252" s="69" t="s">
        <v>607</v>
      </c>
      <c r="F252" s="69"/>
      <c r="G252" s="69"/>
      <c r="H252" s="69"/>
      <c r="I252" s="69"/>
      <c r="J252" s="69"/>
      <c r="K252" s="69"/>
      <c r="L252" s="69"/>
      <c r="M252" s="69"/>
      <c r="N252" s="435">
        <f>SUM(N250:O251)</f>
        <v>165573.91161499999</v>
      </c>
      <c r="O252" s="435"/>
      <c r="P252" s="81"/>
      <c r="Q252" s="81"/>
      <c r="R252" s="81"/>
      <c r="S252" s="81"/>
      <c r="T252" s="70"/>
    </row>
    <row r="253" spans="3:23" ht="13" thickBot="1">
      <c r="D253" s="63"/>
      <c r="E253" s="9" t="s">
        <v>616</v>
      </c>
      <c r="K253" s="72">
        <v>0</v>
      </c>
      <c r="N253" s="436">
        <f>N252*$K253</f>
        <v>0</v>
      </c>
      <c r="O253" s="436"/>
      <c r="P253" s="436"/>
      <c r="Q253" s="436"/>
      <c r="R253" s="436"/>
      <c r="S253" s="436"/>
      <c r="T253" s="437"/>
    </row>
    <row r="254" spans="3:23" ht="13.5" thickBot="1">
      <c r="D254" s="73"/>
      <c r="E254" s="74" t="s">
        <v>18</v>
      </c>
      <c r="F254" s="74"/>
      <c r="G254" s="74"/>
      <c r="H254" s="74"/>
      <c r="I254" s="74"/>
      <c r="J254" s="74"/>
      <c r="K254" s="74"/>
      <c r="L254" s="74"/>
      <c r="M254" s="74"/>
      <c r="N254" s="438">
        <f>SUM(N252:O253)</f>
        <v>165573.91161499999</v>
      </c>
      <c r="O254" s="438"/>
      <c r="P254" s="82"/>
      <c r="Q254" s="82"/>
      <c r="R254" s="82"/>
      <c r="S254" s="82"/>
      <c r="T254" s="75"/>
    </row>
    <row r="255" spans="3:23" ht="13" thickTop="1"/>
    <row r="256" spans="3:23" ht="13" thickBot="1"/>
    <row r="257" spans="4:20" ht="13" thickTop="1">
      <c r="D257" s="59" t="s">
        <v>572</v>
      </c>
      <c r="E257" s="60" t="s">
        <v>573</v>
      </c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2"/>
    </row>
    <row r="258" spans="4:20">
      <c r="D258" s="63" t="str">
        <f>D15</f>
        <v>H</v>
      </c>
      <c r="E258" t="str">
        <f>E15</f>
        <v>Lightning Protection System</v>
      </c>
      <c r="T258" s="64"/>
    </row>
    <row r="259" spans="4:20">
      <c r="D259" s="65"/>
      <c r="E259" s="66" t="s">
        <v>600</v>
      </c>
      <c r="F259" s="66" t="s">
        <v>601</v>
      </c>
      <c r="G259" s="45"/>
      <c r="H259" s="45"/>
      <c r="I259" s="45"/>
      <c r="J259" s="45"/>
      <c r="K259" s="374" t="s">
        <v>602</v>
      </c>
      <c r="L259" s="374" t="s">
        <v>603</v>
      </c>
      <c r="M259" s="374" t="s">
        <v>604</v>
      </c>
      <c r="N259" s="444" t="s">
        <v>605</v>
      </c>
      <c r="O259" s="444"/>
      <c r="P259" s="444" t="s">
        <v>606</v>
      </c>
      <c r="Q259" s="444"/>
      <c r="R259" s="444"/>
      <c r="S259" s="444"/>
      <c r="T259" s="445"/>
    </row>
    <row r="260" spans="4:20">
      <c r="D260" s="63"/>
      <c r="M260" s="67"/>
      <c r="N260" s="446">
        <f t="shared" ref="N260" si="34">K260*M260</f>
        <v>0</v>
      </c>
      <c r="O260" s="446"/>
      <c r="P260" s="446"/>
      <c r="Q260" s="446"/>
      <c r="R260" s="446"/>
      <c r="S260" s="446"/>
      <c r="T260" s="447"/>
    </row>
    <row r="261" spans="4:20">
      <c r="D261" s="63"/>
      <c r="F261" s="9"/>
      <c r="L261" s="9"/>
      <c r="M261" s="67"/>
      <c r="N261" s="432">
        <f>K261*M261</f>
        <v>0</v>
      </c>
      <c r="O261" s="432"/>
      <c r="P261" s="433"/>
      <c r="Q261" s="433"/>
      <c r="R261" s="433"/>
      <c r="S261" s="433"/>
      <c r="T261" s="434"/>
    </row>
    <row r="262" spans="4:20">
      <c r="D262" s="63"/>
      <c r="E262" s="9"/>
      <c r="F262" s="9"/>
      <c r="K262" s="9">
        <v>46290</v>
      </c>
      <c r="L262" s="9" t="s">
        <v>5</v>
      </c>
      <c r="M262" s="67">
        <v>1</v>
      </c>
      <c r="N262" s="432">
        <f t="shared" ref="N262:N267" si="35">K262*M262</f>
        <v>46290</v>
      </c>
      <c r="O262" s="432"/>
      <c r="P262" s="433"/>
      <c r="Q262" s="433"/>
      <c r="R262" s="433"/>
      <c r="S262" s="433"/>
      <c r="T262" s="434"/>
    </row>
    <row r="263" spans="4:20">
      <c r="D263" s="63"/>
      <c r="F263" s="9"/>
      <c r="L263" s="9"/>
      <c r="M263" s="67"/>
      <c r="N263" s="432">
        <f t="shared" si="35"/>
        <v>0</v>
      </c>
      <c r="O263" s="432"/>
      <c r="P263" s="433"/>
      <c r="Q263" s="433"/>
      <c r="R263" s="433"/>
      <c r="S263" s="433"/>
      <c r="T263" s="434"/>
    </row>
    <row r="264" spans="4:20">
      <c r="D264" s="63"/>
      <c r="L264" s="9"/>
      <c r="M264" s="67"/>
      <c r="N264" s="432">
        <f t="shared" si="35"/>
        <v>0</v>
      </c>
      <c r="O264" s="432"/>
      <c r="P264" s="433"/>
      <c r="Q264" s="433"/>
      <c r="R264" s="433"/>
      <c r="S264" s="433"/>
      <c r="T264" s="434"/>
    </row>
    <row r="265" spans="4:20">
      <c r="D265" s="63"/>
      <c r="L265" s="9"/>
      <c r="M265" s="67"/>
      <c r="N265" s="432">
        <f t="shared" si="35"/>
        <v>0</v>
      </c>
      <c r="O265" s="432"/>
      <c r="P265" s="433"/>
      <c r="Q265" s="433"/>
      <c r="R265" s="433"/>
      <c r="S265" s="433"/>
      <c r="T265" s="434"/>
    </row>
    <row r="266" spans="4:20">
      <c r="D266" s="63"/>
      <c r="M266" s="67"/>
      <c r="N266" s="432">
        <f t="shared" si="35"/>
        <v>0</v>
      </c>
      <c r="O266" s="432"/>
      <c r="P266" s="433"/>
      <c r="Q266" s="433"/>
      <c r="R266" s="433"/>
      <c r="S266" s="433"/>
      <c r="T266" s="434"/>
    </row>
    <row r="267" spans="4:20" ht="13" thickBot="1">
      <c r="D267" s="63"/>
      <c r="M267" s="67"/>
      <c r="N267" s="442">
        <f t="shared" si="35"/>
        <v>0</v>
      </c>
      <c r="O267" s="442"/>
      <c r="P267" s="442"/>
      <c r="Q267" s="442"/>
      <c r="R267" s="442"/>
      <c r="S267" s="442"/>
      <c r="T267" s="443"/>
    </row>
    <row r="268" spans="4:20" ht="13.5" thickBot="1">
      <c r="D268" s="68"/>
      <c r="E268" s="69" t="s">
        <v>607</v>
      </c>
      <c r="F268" s="69"/>
      <c r="G268" s="69"/>
      <c r="H268" s="69"/>
      <c r="I268" s="69"/>
      <c r="J268" s="69"/>
      <c r="K268" s="69"/>
      <c r="L268" s="69"/>
      <c r="M268" s="69"/>
      <c r="N268" s="435">
        <f>SUM(N259:O267)</f>
        <v>46290</v>
      </c>
      <c r="O268" s="435"/>
      <c r="P268" s="81"/>
      <c r="Q268" s="81"/>
      <c r="R268" s="81"/>
      <c r="S268" s="81"/>
      <c r="T268" s="70"/>
    </row>
    <row r="269" spans="4:20" ht="13" thickBot="1">
      <c r="D269" s="63"/>
      <c r="E269" s="9" t="s">
        <v>608</v>
      </c>
      <c r="N269" s="436"/>
      <c r="O269" s="436"/>
      <c r="P269" s="436"/>
      <c r="Q269" s="436"/>
      <c r="R269" s="436"/>
      <c r="S269" s="436"/>
      <c r="T269" s="437"/>
    </row>
    <row r="270" spans="4:20" ht="13.5" thickBot="1">
      <c r="D270" s="68"/>
      <c r="E270" s="69" t="s">
        <v>607</v>
      </c>
      <c r="F270" s="69"/>
      <c r="G270" s="69"/>
      <c r="H270" s="69"/>
      <c r="I270" s="69"/>
      <c r="J270" s="69"/>
      <c r="K270" s="69"/>
      <c r="L270" s="69"/>
      <c r="M270" s="69"/>
      <c r="N270" s="435">
        <f>SUM(N268:O269)</f>
        <v>46290</v>
      </c>
      <c r="O270" s="435"/>
      <c r="P270" s="81"/>
      <c r="Q270" s="81"/>
      <c r="R270" s="81"/>
      <c r="S270" s="81"/>
      <c r="T270" s="70"/>
    </row>
    <row r="271" spans="4:20">
      <c r="D271" s="63"/>
      <c r="E271" s="9" t="s">
        <v>123</v>
      </c>
      <c r="K271" s="71">
        <v>1.15E-2</v>
      </c>
      <c r="N271" s="432">
        <f>$W279*$K271</f>
        <v>621</v>
      </c>
      <c r="O271" s="432"/>
      <c r="P271" s="439"/>
      <c r="Q271" s="439"/>
      <c r="R271" s="439"/>
      <c r="S271" s="439"/>
      <c r="T271" s="440"/>
    </row>
    <row r="272" spans="4:20">
      <c r="D272" s="63"/>
      <c r="E272" s="9" t="s">
        <v>124</v>
      </c>
      <c r="K272" s="78">
        <v>2E-3</v>
      </c>
      <c r="N272" s="432">
        <f>$W279*$K272</f>
        <v>108</v>
      </c>
      <c r="O272" s="432"/>
      <c r="P272" s="432"/>
      <c r="Q272" s="432"/>
      <c r="R272" s="432"/>
      <c r="S272" s="432"/>
      <c r="T272" s="441"/>
    </row>
    <row r="273" spans="3:23">
      <c r="D273" s="63"/>
      <c r="E273" s="9" t="s">
        <v>609</v>
      </c>
      <c r="K273" s="78">
        <v>3.8899999999999998E-3</v>
      </c>
      <c r="N273" s="432">
        <f>$W279*$K273</f>
        <v>210.06</v>
      </c>
      <c r="O273" s="432"/>
      <c r="P273" s="432"/>
      <c r="Q273" s="432"/>
      <c r="R273" s="432"/>
      <c r="S273" s="432"/>
      <c r="T273" s="441"/>
    </row>
    <row r="274" spans="3:23">
      <c r="D274" s="63"/>
      <c r="E274" s="9" t="s">
        <v>610</v>
      </c>
      <c r="K274" s="79">
        <v>1.2999999999999999E-2</v>
      </c>
      <c r="N274" s="432">
        <f>N268*$K274</f>
        <v>601.77</v>
      </c>
      <c r="O274" s="432"/>
      <c r="P274" s="432"/>
      <c r="Q274" s="432"/>
      <c r="R274" s="432"/>
      <c r="S274" s="432"/>
      <c r="T274" s="441"/>
    </row>
    <row r="275" spans="3:23" ht="13" thickBot="1">
      <c r="D275" s="63"/>
      <c r="E275" s="9" t="s">
        <v>611</v>
      </c>
      <c r="K275" s="80">
        <v>0</v>
      </c>
      <c r="N275" s="432">
        <f>N269*$K275</f>
        <v>0</v>
      </c>
      <c r="O275" s="432"/>
      <c r="P275" s="432"/>
      <c r="Q275" s="432"/>
      <c r="R275" s="432"/>
      <c r="S275" s="432"/>
      <c r="T275" s="441"/>
    </row>
    <row r="276" spans="3:23" ht="13.5" thickBot="1">
      <c r="D276" s="68"/>
      <c r="E276" s="69" t="s">
        <v>607</v>
      </c>
      <c r="F276" s="69"/>
      <c r="G276" s="69"/>
      <c r="H276" s="69"/>
      <c r="I276" s="69"/>
      <c r="J276" s="69"/>
      <c r="K276" s="69"/>
      <c r="L276" s="69"/>
      <c r="M276" s="69"/>
      <c r="N276" s="435">
        <f>SUM(N270:O275)</f>
        <v>47830.829999999994</v>
      </c>
      <c r="O276" s="435"/>
      <c r="P276" s="81"/>
      <c r="Q276" s="81"/>
      <c r="R276" s="81"/>
      <c r="S276" s="81"/>
      <c r="T276" s="70"/>
    </row>
    <row r="277" spans="3:23">
      <c r="D277" s="63"/>
      <c r="E277" s="9" t="s">
        <v>612</v>
      </c>
      <c r="K277" s="72">
        <v>0</v>
      </c>
      <c r="N277" s="439">
        <f>N276*$K277</f>
        <v>0</v>
      </c>
      <c r="O277" s="439"/>
      <c r="P277" s="439"/>
      <c r="Q277" s="439"/>
      <c r="R277" s="439"/>
      <c r="S277" s="439"/>
      <c r="T277" s="440"/>
    </row>
    <row r="278" spans="3:23" ht="13" thickBot="1">
      <c r="D278" s="63"/>
      <c r="E278" s="9" t="s">
        <v>613</v>
      </c>
      <c r="K278" s="72">
        <v>0.03</v>
      </c>
      <c r="N278" s="442">
        <f>N276*$K278</f>
        <v>1434.9248999999998</v>
      </c>
      <c r="O278" s="442"/>
      <c r="P278" s="442"/>
      <c r="Q278" s="442"/>
      <c r="R278" s="442"/>
      <c r="S278" s="442"/>
      <c r="T278" s="443"/>
    </row>
    <row r="279" spans="3:23" ht="13.5" thickBot="1">
      <c r="C279" s="1">
        <v>8</v>
      </c>
      <c r="D279" s="68"/>
      <c r="E279" s="69" t="s">
        <v>607</v>
      </c>
      <c r="F279" s="69"/>
      <c r="G279" s="69"/>
      <c r="H279" s="69"/>
      <c r="I279" s="69"/>
      <c r="J279" s="69"/>
      <c r="K279" s="69"/>
      <c r="L279" s="69"/>
      <c r="M279" s="69"/>
      <c r="N279" s="435">
        <f>SUM(N276:O278)</f>
        <v>49265.754899999993</v>
      </c>
      <c r="O279" s="435"/>
      <c r="P279" s="81"/>
      <c r="Q279" s="81"/>
      <c r="R279" s="81"/>
      <c r="S279" s="81"/>
      <c r="T279" s="70"/>
      <c r="V279" s="76" t="s">
        <v>614</v>
      </c>
      <c r="W279">
        <v>54000</v>
      </c>
    </row>
    <row r="280" spans="3:23" ht="13" thickBot="1">
      <c r="D280" s="63"/>
      <c r="E280" s="9" t="s">
        <v>615</v>
      </c>
      <c r="K280" s="72">
        <v>3.7499999999999999E-2</v>
      </c>
      <c r="N280" s="436">
        <f>N279*$K280</f>
        <v>1847.4658087499997</v>
      </c>
      <c r="O280" s="436"/>
      <c r="P280" s="436"/>
      <c r="Q280" s="436"/>
      <c r="R280" s="436"/>
      <c r="S280" s="436"/>
      <c r="T280" s="437"/>
    </row>
    <row r="281" spans="3:23" ht="13.5" thickBot="1">
      <c r="D281" s="68"/>
      <c r="E281" s="69" t="s">
        <v>607</v>
      </c>
      <c r="F281" s="69"/>
      <c r="G281" s="69"/>
      <c r="H281" s="69"/>
      <c r="I281" s="69"/>
      <c r="J281" s="69"/>
      <c r="K281" s="69"/>
      <c r="L281" s="69"/>
      <c r="M281" s="69"/>
      <c r="N281" s="435">
        <f>SUM(N279:O280)</f>
        <v>51113.220708749992</v>
      </c>
      <c r="O281" s="435"/>
      <c r="P281" s="81"/>
      <c r="Q281" s="81"/>
      <c r="R281" s="81"/>
      <c r="S281" s="81"/>
      <c r="T281" s="70"/>
    </row>
    <row r="282" spans="3:23" ht="13" thickBot="1">
      <c r="D282" s="63"/>
      <c r="E282" s="9" t="s">
        <v>616</v>
      </c>
      <c r="K282" s="72">
        <v>0</v>
      </c>
      <c r="N282" s="436">
        <f>N281*$K282</f>
        <v>0</v>
      </c>
      <c r="O282" s="436"/>
      <c r="P282" s="436"/>
      <c r="Q282" s="436"/>
      <c r="R282" s="436"/>
      <c r="S282" s="436"/>
      <c r="T282" s="437"/>
    </row>
    <row r="283" spans="3:23" ht="13.5" thickBot="1">
      <c r="D283" s="73"/>
      <c r="E283" s="74" t="s">
        <v>18</v>
      </c>
      <c r="F283" s="74"/>
      <c r="G283" s="74"/>
      <c r="H283" s="74"/>
      <c r="I283" s="74"/>
      <c r="J283" s="74"/>
      <c r="K283" s="74"/>
      <c r="L283" s="74"/>
      <c r="M283" s="74"/>
      <c r="N283" s="438">
        <f>SUM(N281:O282)</f>
        <v>51113.220708749992</v>
      </c>
      <c r="O283" s="438"/>
      <c r="P283" s="82"/>
      <c r="Q283" s="82"/>
      <c r="R283" s="82"/>
      <c r="S283" s="82"/>
      <c r="T283" s="75"/>
    </row>
    <row r="284" spans="3:23" ht="13" thickTop="1"/>
    <row r="285" spans="3:23" ht="13" thickBot="1"/>
    <row r="286" spans="3:23" ht="13" thickTop="1">
      <c r="D286" s="59" t="s">
        <v>572</v>
      </c>
      <c r="E286" s="60" t="s">
        <v>573</v>
      </c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2"/>
    </row>
    <row r="287" spans="3:23">
      <c r="D287" s="63" t="str">
        <f>D16</f>
        <v>I</v>
      </c>
      <c r="E287" t="str">
        <f>E16</f>
        <v>Black Vinyl Chain Link in lieu of Ornamental Fencing</v>
      </c>
      <c r="T287" s="64"/>
    </row>
    <row r="288" spans="3:23">
      <c r="D288" s="65"/>
      <c r="E288" s="66" t="s">
        <v>600</v>
      </c>
      <c r="F288" s="66" t="s">
        <v>601</v>
      </c>
      <c r="G288" s="45"/>
      <c r="H288" s="45"/>
      <c r="I288" s="45"/>
      <c r="J288" s="45"/>
      <c r="K288" s="374" t="s">
        <v>602</v>
      </c>
      <c r="L288" s="374" t="s">
        <v>603</v>
      </c>
      <c r="M288" s="374" t="s">
        <v>604</v>
      </c>
      <c r="N288" s="444" t="s">
        <v>605</v>
      </c>
      <c r="O288" s="444"/>
      <c r="P288" s="444" t="s">
        <v>606</v>
      </c>
      <c r="Q288" s="444"/>
      <c r="R288" s="444"/>
      <c r="S288" s="444"/>
      <c r="T288" s="445"/>
    </row>
    <row r="289" spans="4:20">
      <c r="D289" s="63"/>
      <c r="M289" s="67"/>
      <c r="N289" s="446">
        <f t="shared" ref="N289" si="36">K289*M289</f>
        <v>0</v>
      </c>
      <c r="O289" s="446"/>
      <c r="P289" s="446"/>
      <c r="Q289" s="446"/>
      <c r="R289" s="446"/>
      <c r="S289" s="446"/>
      <c r="T289" s="447"/>
    </row>
    <row r="290" spans="4:20">
      <c r="D290" s="63"/>
      <c r="F290" s="9"/>
      <c r="L290" s="9"/>
      <c r="M290" s="67"/>
      <c r="N290" s="432">
        <f>K290*M290</f>
        <v>0</v>
      </c>
      <c r="O290" s="432"/>
      <c r="P290" s="433"/>
      <c r="Q290" s="433"/>
      <c r="R290" s="433"/>
      <c r="S290" s="433"/>
      <c r="T290" s="434"/>
    </row>
    <row r="291" spans="4:20">
      <c r="D291" s="63"/>
      <c r="E291" s="9"/>
      <c r="F291" s="9" t="s">
        <v>845</v>
      </c>
      <c r="K291">
        <v>1633</v>
      </c>
      <c r="L291" s="9" t="s">
        <v>7</v>
      </c>
      <c r="M291" s="67">
        <v>85</v>
      </c>
      <c r="N291" s="432">
        <f t="shared" ref="N291:N296" si="37">K291*M291</f>
        <v>138805</v>
      </c>
      <c r="O291" s="432"/>
      <c r="P291" s="433"/>
      <c r="Q291" s="433"/>
      <c r="R291" s="433"/>
      <c r="S291" s="433"/>
      <c r="T291" s="434"/>
    </row>
    <row r="292" spans="4:20">
      <c r="D292" s="63"/>
      <c r="F292" s="9" t="s">
        <v>846</v>
      </c>
      <c r="K292">
        <f>-K291</f>
        <v>-1633</v>
      </c>
      <c r="L292" s="9" t="s">
        <v>7</v>
      </c>
      <c r="M292" s="67">
        <v>175</v>
      </c>
      <c r="N292" s="432">
        <f t="shared" si="37"/>
        <v>-285775</v>
      </c>
      <c r="O292" s="432"/>
      <c r="P292" s="433"/>
      <c r="Q292" s="433"/>
      <c r="R292" s="433"/>
      <c r="S292" s="433"/>
      <c r="T292" s="434"/>
    </row>
    <row r="293" spans="4:20">
      <c r="D293" s="63"/>
      <c r="L293" s="9"/>
      <c r="M293" s="67"/>
      <c r="N293" s="432">
        <f t="shared" si="37"/>
        <v>0</v>
      </c>
      <c r="O293" s="432"/>
      <c r="P293" s="433"/>
      <c r="Q293" s="433"/>
      <c r="R293" s="433"/>
      <c r="S293" s="433"/>
      <c r="T293" s="434"/>
    </row>
    <row r="294" spans="4:20">
      <c r="D294" s="63"/>
      <c r="L294" s="9"/>
      <c r="M294" s="67"/>
      <c r="N294" s="432">
        <f t="shared" si="37"/>
        <v>0</v>
      </c>
      <c r="O294" s="432"/>
      <c r="P294" s="433"/>
      <c r="Q294" s="433"/>
      <c r="R294" s="433"/>
      <c r="S294" s="433"/>
      <c r="T294" s="434"/>
    </row>
    <row r="295" spans="4:20">
      <c r="D295" s="63"/>
      <c r="M295" s="67"/>
      <c r="N295" s="432">
        <f t="shared" si="37"/>
        <v>0</v>
      </c>
      <c r="O295" s="432"/>
      <c r="P295" s="433"/>
      <c r="Q295" s="433"/>
      <c r="R295" s="433"/>
      <c r="S295" s="433"/>
      <c r="T295" s="434"/>
    </row>
    <row r="296" spans="4:20" ht="13" thickBot="1">
      <c r="D296" s="63"/>
      <c r="M296" s="67"/>
      <c r="N296" s="442">
        <f t="shared" si="37"/>
        <v>0</v>
      </c>
      <c r="O296" s="442"/>
      <c r="P296" s="442"/>
      <c r="Q296" s="442"/>
      <c r="R296" s="442"/>
      <c r="S296" s="442"/>
      <c r="T296" s="443"/>
    </row>
    <row r="297" spans="4:20" ht="13.5" thickBot="1">
      <c r="D297" s="68"/>
      <c r="E297" s="69" t="s">
        <v>607</v>
      </c>
      <c r="F297" s="69"/>
      <c r="G297" s="69"/>
      <c r="H297" s="69"/>
      <c r="I297" s="69"/>
      <c r="J297" s="69"/>
      <c r="K297" s="69"/>
      <c r="L297" s="69"/>
      <c r="M297" s="69"/>
      <c r="N297" s="435">
        <f>SUM(N288:O296)</f>
        <v>-146970</v>
      </c>
      <c r="O297" s="435"/>
      <c r="P297" s="81"/>
      <c r="Q297" s="81"/>
      <c r="R297" s="81"/>
      <c r="S297" s="81"/>
      <c r="T297" s="70"/>
    </row>
    <row r="298" spans="4:20" ht="13" thickBot="1">
      <c r="D298" s="63"/>
      <c r="E298" s="9" t="s">
        <v>608</v>
      </c>
      <c r="N298" s="436"/>
      <c r="O298" s="436"/>
      <c r="P298" s="436"/>
      <c r="Q298" s="436"/>
      <c r="R298" s="436"/>
      <c r="S298" s="436"/>
      <c r="T298" s="437"/>
    </row>
    <row r="299" spans="4:20" ht="13.5" thickBot="1">
      <c r="D299" s="68"/>
      <c r="E299" s="69" t="s">
        <v>607</v>
      </c>
      <c r="F299" s="69"/>
      <c r="G299" s="69"/>
      <c r="H299" s="69"/>
      <c r="I299" s="69"/>
      <c r="J299" s="69"/>
      <c r="K299" s="69"/>
      <c r="L299" s="69"/>
      <c r="M299" s="69"/>
      <c r="N299" s="435">
        <f>SUM(N297:O298)</f>
        <v>-146970</v>
      </c>
      <c r="O299" s="435"/>
      <c r="P299" s="81"/>
      <c r="Q299" s="81"/>
      <c r="R299" s="81"/>
      <c r="S299" s="81"/>
      <c r="T299" s="70"/>
    </row>
    <row r="300" spans="4:20">
      <c r="D300" s="63"/>
      <c r="E300" s="9" t="s">
        <v>123</v>
      </c>
      <c r="K300" s="71">
        <v>1.15E-2</v>
      </c>
      <c r="N300" s="432">
        <f>$W308*$K300</f>
        <v>0</v>
      </c>
      <c r="O300" s="432"/>
      <c r="P300" s="439"/>
      <c r="Q300" s="439"/>
      <c r="R300" s="439"/>
      <c r="S300" s="439"/>
      <c r="T300" s="440"/>
    </row>
    <row r="301" spans="4:20">
      <c r="D301" s="63"/>
      <c r="E301" s="9" t="s">
        <v>124</v>
      </c>
      <c r="K301" s="78">
        <v>2E-3</v>
      </c>
      <c r="N301" s="432">
        <f>$W308*$K301</f>
        <v>0</v>
      </c>
      <c r="O301" s="432"/>
      <c r="P301" s="432"/>
      <c r="Q301" s="432"/>
      <c r="R301" s="432"/>
      <c r="S301" s="432"/>
      <c r="T301" s="441"/>
    </row>
    <row r="302" spans="4:20">
      <c r="D302" s="63"/>
      <c r="E302" s="9" t="s">
        <v>609</v>
      </c>
      <c r="K302" s="78">
        <v>3.8899999999999998E-3</v>
      </c>
      <c r="N302" s="432">
        <f>$W308*$K302</f>
        <v>0</v>
      </c>
      <c r="O302" s="432"/>
      <c r="P302" s="432"/>
      <c r="Q302" s="432"/>
      <c r="R302" s="432"/>
      <c r="S302" s="432"/>
      <c r="T302" s="441"/>
    </row>
    <row r="303" spans="4:20">
      <c r="D303" s="63"/>
      <c r="E303" s="9" t="s">
        <v>610</v>
      </c>
      <c r="K303" s="79">
        <v>1.2999999999999999E-2</v>
      </c>
      <c r="N303" s="432">
        <f>N297*$K303</f>
        <v>-1910.61</v>
      </c>
      <c r="O303" s="432"/>
      <c r="P303" s="432"/>
      <c r="Q303" s="432"/>
      <c r="R303" s="432"/>
      <c r="S303" s="432"/>
      <c r="T303" s="441"/>
    </row>
    <row r="304" spans="4:20" ht="13" thickBot="1">
      <c r="D304" s="63"/>
      <c r="E304" s="9" t="s">
        <v>611</v>
      </c>
      <c r="K304" s="80">
        <v>0</v>
      </c>
      <c r="N304" s="432">
        <f>N298*$K304</f>
        <v>0</v>
      </c>
      <c r="O304" s="432"/>
      <c r="P304" s="432"/>
      <c r="Q304" s="432"/>
      <c r="R304" s="432"/>
      <c r="S304" s="432"/>
      <c r="T304" s="441"/>
    </row>
    <row r="305" spans="3:22" ht="13.5" thickBot="1">
      <c r="D305" s="68"/>
      <c r="E305" s="69" t="s">
        <v>607</v>
      </c>
      <c r="F305" s="69"/>
      <c r="G305" s="69"/>
      <c r="H305" s="69"/>
      <c r="I305" s="69"/>
      <c r="J305" s="69"/>
      <c r="K305" s="69"/>
      <c r="L305" s="69"/>
      <c r="M305" s="69"/>
      <c r="N305" s="435">
        <f>SUM(N299:O304)</f>
        <v>-148880.60999999999</v>
      </c>
      <c r="O305" s="435"/>
      <c r="P305" s="81"/>
      <c r="Q305" s="81"/>
      <c r="R305" s="81"/>
      <c r="S305" s="81"/>
      <c r="T305" s="70"/>
    </row>
    <row r="306" spans="3:22">
      <c r="D306" s="63"/>
      <c r="E306" s="9" t="s">
        <v>612</v>
      </c>
      <c r="K306" s="72">
        <v>0</v>
      </c>
      <c r="N306" s="439">
        <f>N305*$K306</f>
        <v>0</v>
      </c>
      <c r="O306" s="439"/>
      <c r="P306" s="439"/>
      <c r="Q306" s="439"/>
      <c r="R306" s="439"/>
      <c r="S306" s="439"/>
      <c r="T306" s="440"/>
    </row>
    <row r="307" spans="3:22" ht="13" thickBot="1">
      <c r="D307" s="63"/>
      <c r="E307" s="9" t="s">
        <v>613</v>
      </c>
      <c r="K307" s="72">
        <v>0.03</v>
      </c>
      <c r="N307" s="442">
        <f>N305*$K307</f>
        <v>-4466.4182999999994</v>
      </c>
      <c r="O307" s="442"/>
      <c r="P307" s="442"/>
      <c r="Q307" s="442"/>
      <c r="R307" s="442"/>
      <c r="S307" s="442"/>
      <c r="T307" s="443"/>
    </row>
    <row r="308" spans="3:22" ht="13.5" thickBot="1">
      <c r="C308" s="1">
        <v>9</v>
      </c>
      <c r="D308" s="68"/>
      <c r="E308" s="69" t="s">
        <v>607</v>
      </c>
      <c r="F308" s="69"/>
      <c r="G308" s="69"/>
      <c r="H308" s="69"/>
      <c r="I308" s="69"/>
      <c r="J308" s="69"/>
      <c r="K308" s="69"/>
      <c r="L308" s="69"/>
      <c r="M308" s="69"/>
      <c r="N308" s="435">
        <f>SUM(N305:O307)</f>
        <v>-153347.02829999998</v>
      </c>
      <c r="O308" s="435"/>
      <c r="P308" s="81"/>
      <c r="Q308" s="81"/>
      <c r="R308" s="81"/>
      <c r="S308" s="81"/>
      <c r="T308" s="70"/>
      <c r="V308" s="76" t="s">
        <v>614</v>
      </c>
    </row>
    <row r="309" spans="3:22" ht="13" thickBot="1">
      <c r="C309" s="1"/>
      <c r="D309" s="63"/>
      <c r="E309" s="9" t="s">
        <v>615</v>
      </c>
      <c r="K309" s="72">
        <v>3.7499999999999999E-2</v>
      </c>
      <c r="N309" s="436">
        <f>N308*$K309</f>
        <v>-5750.5135612499989</v>
      </c>
      <c r="O309" s="436"/>
      <c r="P309" s="436"/>
      <c r="Q309" s="436"/>
      <c r="R309" s="436"/>
      <c r="S309" s="436"/>
      <c r="T309" s="437"/>
    </row>
    <row r="310" spans="3:22" ht="13.5" thickBot="1">
      <c r="C310" s="1"/>
      <c r="D310" s="68"/>
      <c r="E310" s="69" t="s">
        <v>607</v>
      </c>
      <c r="F310" s="69"/>
      <c r="G310" s="69"/>
      <c r="H310" s="69"/>
      <c r="I310" s="69"/>
      <c r="J310" s="69"/>
      <c r="K310" s="69"/>
      <c r="L310" s="69"/>
      <c r="M310" s="69"/>
      <c r="N310" s="435">
        <f>SUM(N308:O309)</f>
        <v>-159097.54186124998</v>
      </c>
      <c r="O310" s="435"/>
      <c r="P310" s="81"/>
      <c r="Q310" s="81"/>
      <c r="R310" s="81"/>
      <c r="S310" s="81"/>
      <c r="T310" s="70"/>
    </row>
    <row r="311" spans="3:22" ht="13" thickBot="1">
      <c r="D311" s="63"/>
      <c r="E311" s="9" t="s">
        <v>616</v>
      </c>
      <c r="K311" s="72">
        <v>0</v>
      </c>
      <c r="N311" s="436">
        <f>N310*$K311</f>
        <v>0</v>
      </c>
      <c r="O311" s="436"/>
      <c r="P311" s="436"/>
      <c r="Q311" s="436"/>
      <c r="R311" s="436"/>
      <c r="S311" s="436"/>
      <c r="T311" s="437"/>
    </row>
    <row r="312" spans="3:22" ht="13.5" thickBot="1">
      <c r="D312" s="73"/>
      <c r="E312" s="74" t="s">
        <v>18</v>
      </c>
      <c r="F312" s="74"/>
      <c r="G312" s="74"/>
      <c r="H312" s="74"/>
      <c r="I312" s="74"/>
      <c r="J312" s="74"/>
      <c r="K312" s="74"/>
      <c r="L312" s="74"/>
      <c r="M312" s="74"/>
      <c r="N312" s="438">
        <f>SUM(N310:O311)</f>
        <v>-159097.54186124998</v>
      </c>
      <c r="O312" s="438"/>
      <c r="P312" s="82"/>
      <c r="Q312" s="82"/>
      <c r="R312" s="82"/>
      <c r="S312" s="82"/>
      <c r="T312" s="75"/>
    </row>
    <row r="313" spans="3:22" ht="13" thickTop="1"/>
    <row r="314" spans="3:22" ht="13" thickBot="1"/>
    <row r="315" spans="3:22" ht="13" thickTop="1">
      <c r="D315" s="59" t="s">
        <v>572</v>
      </c>
      <c r="E315" s="60" t="s">
        <v>573</v>
      </c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2"/>
    </row>
    <row r="316" spans="3:22">
      <c r="D316" s="63" t="str">
        <f>D17</f>
        <v>J</v>
      </c>
      <c r="E316" t="str">
        <f>E17</f>
        <v>Precast Screen Wall in lieu of Ornamental Fencing</v>
      </c>
      <c r="T316" s="64"/>
    </row>
    <row r="317" spans="3:22">
      <c r="D317" s="65"/>
      <c r="E317" s="66" t="s">
        <v>600</v>
      </c>
      <c r="F317" s="66" t="s">
        <v>601</v>
      </c>
      <c r="G317" s="45"/>
      <c r="H317" s="45"/>
      <c r="I317" s="45"/>
      <c r="J317" s="45"/>
      <c r="K317" s="374" t="s">
        <v>602</v>
      </c>
      <c r="L317" s="374" t="s">
        <v>603</v>
      </c>
      <c r="M317" s="374" t="s">
        <v>604</v>
      </c>
      <c r="N317" s="444" t="s">
        <v>605</v>
      </c>
      <c r="O317" s="444"/>
      <c r="P317" s="444" t="s">
        <v>606</v>
      </c>
      <c r="Q317" s="444"/>
      <c r="R317" s="444"/>
      <c r="S317" s="444"/>
      <c r="T317" s="445"/>
    </row>
    <row r="318" spans="3:22">
      <c r="D318" s="63"/>
      <c r="M318" s="67"/>
      <c r="N318" s="446">
        <f t="shared" ref="N318" si="38">K318*M318</f>
        <v>0</v>
      </c>
      <c r="O318" s="446"/>
      <c r="P318" s="446"/>
      <c r="Q318" s="446"/>
      <c r="R318" s="446"/>
      <c r="S318" s="446"/>
      <c r="T318" s="447"/>
    </row>
    <row r="319" spans="3:22">
      <c r="D319" s="63"/>
      <c r="L319" s="9"/>
      <c r="M319" s="67"/>
      <c r="N319" s="432">
        <f>K319*M319</f>
        <v>0</v>
      </c>
      <c r="O319" s="432"/>
      <c r="P319" s="433"/>
      <c r="Q319" s="433"/>
      <c r="R319" s="433"/>
      <c r="S319" s="433"/>
      <c r="T319" s="434"/>
    </row>
    <row r="320" spans="3:22">
      <c r="D320" s="63"/>
      <c r="E320" s="9"/>
      <c r="F320" s="9" t="s">
        <v>847</v>
      </c>
      <c r="H320" s="9"/>
      <c r="K320">
        <v>1393</v>
      </c>
      <c r="L320" s="9" t="s">
        <v>7</v>
      </c>
      <c r="M320" s="67">
        <v>325</v>
      </c>
      <c r="N320" s="432">
        <f t="shared" ref="N320:N325" si="39">K320*M320</f>
        <v>452725</v>
      </c>
      <c r="O320" s="432"/>
      <c r="P320" s="433"/>
      <c r="Q320" s="433"/>
      <c r="R320" s="433"/>
      <c r="S320" s="433"/>
      <c r="T320" s="434"/>
    </row>
    <row r="321" spans="4:20">
      <c r="D321" s="63"/>
      <c r="F321" s="9" t="s">
        <v>846</v>
      </c>
      <c r="K321">
        <f>-K320</f>
        <v>-1393</v>
      </c>
      <c r="L321" s="9" t="s">
        <v>7</v>
      </c>
      <c r="M321" s="67">
        <v>175</v>
      </c>
      <c r="N321" s="432">
        <f t="shared" si="39"/>
        <v>-243775</v>
      </c>
      <c r="O321" s="432"/>
      <c r="P321" s="433"/>
      <c r="Q321" s="433"/>
      <c r="R321" s="433"/>
      <c r="S321" s="433"/>
      <c r="T321" s="434"/>
    </row>
    <row r="322" spans="4:20">
      <c r="D322" s="63"/>
      <c r="L322" s="9"/>
      <c r="M322" s="67"/>
      <c r="N322" s="432">
        <f t="shared" si="39"/>
        <v>0</v>
      </c>
      <c r="O322" s="432"/>
      <c r="P322" s="433"/>
      <c r="Q322" s="433"/>
      <c r="R322" s="433"/>
      <c r="S322" s="433"/>
      <c r="T322" s="434"/>
    </row>
    <row r="323" spans="4:20">
      <c r="D323" s="63"/>
      <c r="L323" s="9"/>
      <c r="M323" s="67"/>
      <c r="N323" s="432">
        <f t="shared" si="39"/>
        <v>0</v>
      </c>
      <c r="O323" s="432"/>
      <c r="P323" s="433"/>
      <c r="Q323" s="433"/>
      <c r="R323" s="433"/>
      <c r="S323" s="433"/>
      <c r="T323" s="434"/>
    </row>
    <row r="324" spans="4:20">
      <c r="D324" s="63"/>
      <c r="M324" s="67"/>
      <c r="N324" s="432">
        <f t="shared" si="39"/>
        <v>0</v>
      </c>
      <c r="O324" s="432"/>
      <c r="P324" s="433"/>
      <c r="Q324" s="433"/>
      <c r="R324" s="433"/>
      <c r="S324" s="433"/>
      <c r="T324" s="434"/>
    </row>
    <row r="325" spans="4:20" ht="13" thickBot="1">
      <c r="D325" s="63"/>
      <c r="M325" s="67"/>
      <c r="N325" s="442">
        <f t="shared" si="39"/>
        <v>0</v>
      </c>
      <c r="O325" s="442"/>
      <c r="P325" s="442"/>
      <c r="Q325" s="442"/>
      <c r="R325" s="442"/>
      <c r="S325" s="442"/>
      <c r="T325" s="443"/>
    </row>
    <row r="326" spans="4:20" ht="13.5" thickBot="1">
      <c r="D326" s="68"/>
      <c r="E326" s="69" t="s">
        <v>607</v>
      </c>
      <c r="F326" s="69"/>
      <c r="G326" s="69"/>
      <c r="H326" s="69"/>
      <c r="I326" s="69"/>
      <c r="J326" s="69"/>
      <c r="K326" s="69"/>
      <c r="L326" s="69"/>
      <c r="M326" s="69"/>
      <c r="N326" s="435">
        <f>SUM(N317:O325)</f>
        <v>208950</v>
      </c>
      <c r="O326" s="435"/>
      <c r="P326" s="81"/>
      <c r="Q326" s="81"/>
      <c r="R326" s="81"/>
      <c r="S326" s="81"/>
      <c r="T326" s="70"/>
    </row>
    <row r="327" spans="4:20" ht="13" thickBot="1">
      <c r="D327" s="63"/>
      <c r="E327" s="9" t="s">
        <v>608</v>
      </c>
      <c r="N327" s="436"/>
      <c r="O327" s="436"/>
      <c r="P327" s="436"/>
      <c r="Q327" s="436"/>
      <c r="R327" s="436"/>
      <c r="S327" s="436"/>
      <c r="T327" s="437"/>
    </row>
    <row r="328" spans="4:20" ht="13.5" thickBot="1">
      <c r="D328" s="68"/>
      <c r="E328" s="69" t="s">
        <v>607</v>
      </c>
      <c r="F328" s="69"/>
      <c r="G328" s="69"/>
      <c r="H328" s="69"/>
      <c r="I328" s="69"/>
      <c r="J328" s="69"/>
      <c r="K328" s="69"/>
      <c r="L328" s="69"/>
      <c r="M328" s="69"/>
      <c r="N328" s="435">
        <f>SUM(N326:O327)</f>
        <v>208950</v>
      </c>
      <c r="O328" s="435"/>
      <c r="P328" s="81"/>
      <c r="Q328" s="81"/>
      <c r="R328" s="81"/>
      <c r="S328" s="81"/>
      <c r="T328" s="70"/>
    </row>
    <row r="329" spans="4:20">
      <c r="D329" s="63"/>
      <c r="E329" s="9" t="s">
        <v>123</v>
      </c>
      <c r="K329" s="71">
        <v>1.15E-2</v>
      </c>
      <c r="N329" s="432">
        <f>$W337*$K329</f>
        <v>2760</v>
      </c>
      <c r="O329" s="432"/>
      <c r="P329" s="439"/>
      <c r="Q329" s="439"/>
      <c r="R329" s="439"/>
      <c r="S329" s="439"/>
      <c r="T329" s="440"/>
    </row>
    <row r="330" spans="4:20">
      <c r="D330" s="63"/>
      <c r="E330" s="9" t="s">
        <v>124</v>
      </c>
      <c r="K330" s="78">
        <v>2E-3</v>
      </c>
      <c r="N330" s="432">
        <f>$W337*$K330</f>
        <v>480</v>
      </c>
      <c r="O330" s="432"/>
      <c r="P330" s="432"/>
      <c r="Q330" s="432"/>
      <c r="R330" s="432"/>
      <c r="S330" s="432"/>
      <c r="T330" s="441"/>
    </row>
    <row r="331" spans="4:20">
      <c r="D331" s="63"/>
      <c r="E331" s="9" t="s">
        <v>609</v>
      </c>
      <c r="K331" s="78">
        <v>3.8899999999999998E-3</v>
      </c>
      <c r="N331" s="432">
        <f>$W337*$K331</f>
        <v>933.59999999999991</v>
      </c>
      <c r="O331" s="432"/>
      <c r="P331" s="432"/>
      <c r="Q331" s="432"/>
      <c r="R331" s="432"/>
      <c r="S331" s="432"/>
      <c r="T331" s="441"/>
    </row>
    <row r="332" spans="4:20">
      <c r="D332" s="63"/>
      <c r="E332" s="9" t="s">
        <v>610</v>
      </c>
      <c r="K332" s="79">
        <v>1.2999999999999999E-2</v>
      </c>
      <c r="N332" s="432">
        <f>N326*$K332</f>
        <v>2716.35</v>
      </c>
      <c r="O332" s="432"/>
      <c r="P332" s="432"/>
      <c r="Q332" s="432"/>
      <c r="R332" s="432"/>
      <c r="S332" s="432"/>
      <c r="T332" s="441"/>
    </row>
    <row r="333" spans="4:20" ht="13" thickBot="1">
      <c r="D333" s="63"/>
      <c r="E333" s="9" t="s">
        <v>611</v>
      </c>
      <c r="K333" s="80">
        <v>0</v>
      </c>
      <c r="N333" s="432">
        <f>N327*$K333</f>
        <v>0</v>
      </c>
      <c r="O333" s="432"/>
      <c r="P333" s="432"/>
      <c r="Q333" s="432"/>
      <c r="R333" s="432"/>
      <c r="S333" s="432"/>
      <c r="T333" s="441"/>
    </row>
    <row r="334" spans="4:20" ht="13.5" thickBot="1">
      <c r="D334" s="68"/>
      <c r="E334" s="69" t="s">
        <v>607</v>
      </c>
      <c r="F334" s="69"/>
      <c r="G334" s="69"/>
      <c r="H334" s="69"/>
      <c r="I334" s="69"/>
      <c r="J334" s="69"/>
      <c r="K334" s="69"/>
      <c r="L334" s="69"/>
      <c r="M334" s="69"/>
      <c r="N334" s="435">
        <f>SUM(N328:O333)</f>
        <v>215839.95</v>
      </c>
      <c r="O334" s="435"/>
      <c r="P334" s="81"/>
      <c r="Q334" s="81"/>
      <c r="R334" s="81"/>
      <c r="S334" s="81"/>
      <c r="T334" s="70"/>
    </row>
    <row r="335" spans="4:20">
      <c r="D335" s="63"/>
      <c r="E335" s="9" t="s">
        <v>612</v>
      </c>
      <c r="K335" s="72">
        <v>0</v>
      </c>
      <c r="N335" s="439">
        <f>N334*$K335</f>
        <v>0</v>
      </c>
      <c r="O335" s="439"/>
      <c r="P335" s="439"/>
      <c r="Q335" s="439"/>
      <c r="R335" s="439"/>
      <c r="S335" s="439"/>
      <c r="T335" s="440"/>
    </row>
    <row r="336" spans="4:20" ht="13" thickBot="1">
      <c r="D336" s="63"/>
      <c r="E336" s="9" t="s">
        <v>613</v>
      </c>
      <c r="K336" s="72">
        <v>0.03</v>
      </c>
      <c r="N336" s="442">
        <f>N334*$K336</f>
        <v>6475.1985000000004</v>
      </c>
      <c r="O336" s="442"/>
      <c r="P336" s="442"/>
      <c r="Q336" s="442"/>
      <c r="R336" s="442"/>
      <c r="S336" s="442"/>
      <c r="T336" s="443"/>
    </row>
    <row r="337" spans="3:23" ht="13.5" thickBot="1">
      <c r="C337" s="1">
        <v>10</v>
      </c>
      <c r="D337" s="68"/>
      <c r="E337" s="69" t="s">
        <v>607</v>
      </c>
      <c r="F337" s="69"/>
      <c r="G337" s="69"/>
      <c r="H337" s="69"/>
      <c r="I337" s="69"/>
      <c r="J337" s="69"/>
      <c r="K337" s="69"/>
      <c r="L337" s="69"/>
      <c r="M337" s="69"/>
      <c r="N337" s="435">
        <f>SUM(N334:O336)</f>
        <v>222315.14850000001</v>
      </c>
      <c r="O337" s="435"/>
      <c r="P337" s="81"/>
      <c r="Q337" s="81"/>
      <c r="R337" s="81"/>
      <c r="S337" s="81"/>
      <c r="T337" s="70"/>
      <c r="V337" s="76" t="s">
        <v>614</v>
      </c>
      <c r="W337">
        <v>240000</v>
      </c>
    </row>
    <row r="338" spans="3:23" ht="13" thickBot="1">
      <c r="D338" s="63"/>
      <c r="E338" s="9" t="s">
        <v>615</v>
      </c>
      <c r="K338" s="72">
        <v>3.7499999999999999E-2</v>
      </c>
      <c r="N338" s="436">
        <f>N337*$K338</f>
        <v>8336.8180687500007</v>
      </c>
      <c r="O338" s="436"/>
      <c r="P338" s="436"/>
      <c r="Q338" s="436"/>
      <c r="R338" s="436"/>
      <c r="S338" s="436"/>
      <c r="T338" s="437"/>
    </row>
    <row r="339" spans="3:23" ht="13.5" thickBot="1">
      <c r="D339" s="68"/>
      <c r="E339" s="69" t="s">
        <v>607</v>
      </c>
      <c r="F339" s="69"/>
      <c r="G339" s="69"/>
      <c r="H339" s="69"/>
      <c r="I339" s="69"/>
      <c r="J339" s="69"/>
      <c r="K339" s="69"/>
      <c r="L339" s="69"/>
      <c r="M339" s="69"/>
      <c r="N339" s="435">
        <f>SUM(N337:O338)</f>
        <v>230651.96656875001</v>
      </c>
      <c r="O339" s="435"/>
      <c r="P339" s="81"/>
      <c r="Q339" s="81"/>
      <c r="R339" s="81"/>
      <c r="S339" s="81"/>
      <c r="T339" s="70"/>
    </row>
    <row r="340" spans="3:23" ht="13" thickBot="1">
      <c r="D340" s="63"/>
      <c r="E340" s="9" t="s">
        <v>616</v>
      </c>
      <c r="K340" s="72">
        <v>0</v>
      </c>
      <c r="N340" s="436">
        <f>N339*$K340</f>
        <v>0</v>
      </c>
      <c r="O340" s="436"/>
      <c r="P340" s="436"/>
      <c r="Q340" s="436"/>
      <c r="R340" s="436"/>
      <c r="S340" s="436"/>
      <c r="T340" s="437"/>
    </row>
    <row r="341" spans="3:23" ht="13.5" thickBot="1">
      <c r="D341" s="73"/>
      <c r="E341" s="74" t="s">
        <v>18</v>
      </c>
      <c r="F341" s="74"/>
      <c r="G341" s="74"/>
      <c r="H341" s="74"/>
      <c r="I341" s="74"/>
      <c r="J341" s="74"/>
      <c r="K341" s="74"/>
      <c r="L341" s="74"/>
      <c r="M341" s="74"/>
      <c r="N341" s="438">
        <f>SUM(N339:O340)</f>
        <v>230651.96656875001</v>
      </c>
      <c r="O341" s="438"/>
      <c r="P341" s="82"/>
      <c r="Q341" s="82"/>
      <c r="R341" s="82"/>
      <c r="S341" s="82"/>
      <c r="T341" s="75"/>
    </row>
    <row r="342" spans="3:23" ht="13" thickTop="1"/>
    <row r="343" spans="3:23" ht="13" thickBot="1"/>
    <row r="344" spans="3:23" ht="13" thickTop="1">
      <c r="D344" s="59" t="s">
        <v>572</v>
      </c>
      <c r="E344" s="60" t="s">
        <v>573</v>
      </c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2"/>
    </row>
    <row r="345" spans="3:23">
      <c r="D345" s="63" t="str">
        <f>D18</f>
        <v>K</v>
      </c>
      <c r="E345" t="str">
        <f>E18</f>
        <v>Hip Roof @ Fire</v>
      </c>
      <c r="T345" s="64"/>
    </row>
    <row r="346" spans="3:23">
      <c r="D346" s="65"/>
      <c r="E346" s="66" t="s">
        <v>600</v>
      </c>
      <c r="F346" s="66" t="s">
        <v>601</v>
      </c>
      <c r="G346" s="45"/>
      <c r="H346" s="45"/>
      <c r="I346" s="45"/>
      <c r="J346" s="45"/>
      <c r="K346" s="374" t="s">
        <v>602</v>
      </c>
      <c r="L346" s="374" t="s">
        <v>603</v>
      </c>
      <c r="M346" s="374" t="s">
        <v>604</v>
      </c>
      <c r="N346" s="444" t="s">
        <v>605</v>
      </c>
      <c r="O346" s="444"/>
      <c r="P346" s="444" t="s">
        <v>606</v>
      </c>
      <c r="Q346" s="444"/>
      <c r="R346" s="444"/>
      <c r="S346" s="444"/>
      <c r="T346" s="445"/>
    </row>
    <row r="347" spans="3:23">
      <c r="D347" s="63"/>
      <c r="H347">
        <f>187.58*2</f>
        <v>375.16</v>
      </c>
      <c r="I347">
        <f>H347*2</f>
        <v>750.32</v>
      </c>
      <c r="M347" s="67"/>
      <c r="N347" s="446">
        <f t="shared" ref="N347" si="40">K347*M347</f>
        <v>0</v>
      </c>
      <c r="O347" s="446"/>
      <c r="P347" s="446"/>
      <c r="Q347" s="446"/>
      <c r="R347" s="446"/>
      <c r="S347" s="446"/>
      <c r="T347" s="447"/>
    </row>
    <row r="348" spans="3:23">
      <c r="D348" s="63"/>
      <c r="F348" s="9" t="s">
        <v>393</v>
      </c>
      <c r="H348">
        <f>115.58*72</f>
        <v>8321.76</v>
      </c>
      <c r="K348">
        <f>H348*1.08</f>
        <v>8987.5008000000016</v>
      </c>
      <c r="L348" s="9" t="s">
        <v>5</v>
      </c>
      <c r="M348" s="67">
        <v>28</v>
      </c>
      <c r="N348" s="432">
        <f>K348*M348</f>
        <v>251650.02240000005</v>
      </c>
      <c r="O348" s="432"/>
      <c r="P348" s="433"/>
      <c r="Q348" s="433"/>
      <c r="R348" s="433"/>
      <c r="S348" s="433"/>
      <c r="T348" s="434"/>
    </row>
    <row r="349" spans="3:23">
      <c r="D349" s="63"/>
      <c r="E349" s="9"/>
      <c r="F349" t="s">
        <v>852</v>
      </c>
      <c r="K349">
        <v>-8322</v>
      </c>
      <c r="L349" s="9" t="s">
        <v>5</v>
      </c>
      <c r="M349" s="67">
        <v>14.75</v>
      </c>
      <c r="N349" s="432">
        <f t="shared" ref="N349:N354" si="41">K349*M349</f>
        <v>-122749.5</v>
      </c>
      <c r="O349" s="432"/>
      <c r="P349" s="433"/>
      <c r="Q349" s="433"/>
      <c r="R349" s="433"/>
      <c r="S349" s="433"/>
      <c r="T349" s="434"/>
    </row>
    <row r="350" spans="3:23">
      <c r="D350" s="63"/>
      <c r="F350" t="s">
        <v>394</v>
      </c>
      <c r="K350">
        <v>750</v>
      </c>
      <c r="L350" s="9" t="s">
        <v>5</v>
      </c>
      <c r="M350" s="67">
        <v>25</v>
      </c>
      <c r="N350" s="432">
        <f t="shared" si="41"/>
        <v>18750</v>
      </c>
      <c r="O350" s="432"/>
      <c r="P350" s="433"/>
      <c r="Q350" s="433"/>
      <c r="R350" s="433"/>
      <c r="S350" s="433"/>
      <c r="T350" s="434"/>
    </row>
    <row r="351" spans="3:23">
      <c r="D351" s="63"/>
      <c r="F351" t="s">
        <v>851</v>
      </c>
      <c r="K351">
        <v>140</v>
      </c>
      <c r="L351" s="9" t="s">
        <v>162</v>
      </c>
      <c r="M351" s="67">
        <v>550</v>
      </c>
      <c r="N351" s="432">
        <f t="shared" si="41"/>
        <v>77000</v>
      </c>
      <c r="O351" s="432"/>
      <c r="P351" s="433"/>
      <c r="Q351" s="433"/>
      <c r="R351" s="433"/>
      <c r="S351" s="433"/>
      <c r="T351" s="434"/>
    </row>
    <row r="352" spans="3:23">
      <c r="D352" s="63"/>
      <c r="F352" t="s">
        <v>777</v>
      </c>
      <c r="K352">
        <f>H348/2000</f>
        <v>4.1608799999999997</v>
      </c>
      <c r="L352" s="9" t="s">
        <v>241</v>
      </c>
      <c r="M352" s="67">
        <v>5450</v>
      </c>
      <c r="N352" s="432">
        <f t="shared" si="41"/>
        <v>22676.795999999998</v>
      </c>
      <c r="O352" s="432"/>
      <c r="P352" s="433"/>
      <c r="Q352" s="433"/>
      <c r="R352" s="433"/>
      <c r="S352" s="433"/>
      <c r="T352" s="434"/>
    </row>
    <row r="353" spans="3:23">
      <c r="D353" s="63"/>
      <c r="M353" s="67"/>
      <c r="N353" s="432">
        <f t="shared" si="41"/>
        <v>0</v>
      </c>
      <c r="O353" s="432"/>
      <c r="P353" s="433"/>
      <c r="Q353" s="433"/>
      <c r="R353" s="433"/>
      <c r="S353" s="433"/>
      <c r="T353" s="434"/>
    </row>
    <row r="354" spans="3:23" ht="13" thickBot="1">
      <c r="D354" s="63"/>
      <c r="M354" s="67"/>
      <c r="N354" s="442">
        <f t="shared" si="41"/>
        <v>0</v>
      </c>
      <c r="O354" s="442"/>
      <c r="P354" s="442"/>
      <c r="Q354" s="442"/>
      <c r="R354" s="442"/>
      <c r="S354" s="442"/>
      <c r="T354" s="443"/>
    </row>
    <row r="355" spans="3:23" ht="13.5" thickBot="1">
      <c r="D355" s="68"/>
      <c r="E355" s="69" t="s">
        <v>607</v>
      </c>
      <c r="F355" s="69"/>
      <c r="G355" s="69"/>
      <c r="H355" s="69"/>
      <c r="I355" s="69"/>
      <c r="J355" s="69"/>
      <c r="K355" s="69"/>
      <c r="L355" s="69"/>
      <c r="M355" s="69"/>
      <c r="N355" s="435">
        <f>SUM(N346:O354)</f>
        <v>247327.31840000005</v>
      </c>
      <c r="O355" s="435"/>
      <c r="P355" s="81"/>
      <c r="Q355" s="81"/>
      <c r="R355" s="81"/>
      <c r="S355" s="81"/>
      <c r="T355" s="70"/>
    </row>
    <row r="356" spans="3:23" ht="13" thickBot="1">
      <c r="D356" s="63"/>
      <c r="E356" s="9" t="s">
        <v>608</v>
      </c>
      <c r="N356" s="436"/>
      <c r="O356" s="436"/>
      <c r="P356" s="436"/>
      <c r="Q356" s="436"/>
      <c r="R356" s="436"/>
      <c r="S356" s="436"/>
      <c r="T356" s="437"/>
    </row>
    <row r="357" spans="3:23" ht="13.5" thickBot="1">
      <c r="D357" s="68"/>
      <c r="E357" s="69" t="s">
        <v>607</v>
      </c>
      <c r="F357" s="69"/>
      <c r="G357" s="69"/>
      <c r="H357" s="69"/>
      <c r="I357" s="69"/>
      <c r="J357" s="69"/>
      <c r="K357" s="69"/>
      <c r="L357" s="69"/>
      <c r="M357" s="69"/>
      <c r="N357" s="435">
        <f>SUM(N355:O356)</f>
        <v>247327.31840000005</v>
      </c>
      <c r="O357" s="435"/>
      <c r="P357" s="81"/>
      <c r="Q357" s="81"/>
      <c r="R357" s="81"/>
      <c r="S357" s="81"/>
      <c r="T357" s="70"/>
    </row>
    <row r="358" spans="3:23">
      <c r="D358" s="63"/>
      <c r="E358" s="9" t="s">
        <v>123</v>
      </c>
      <c r="K358" s="71">
        <v>1.15E-2</v>
      </c>
      <c r="N358" s="432">
        <f>$W366*$K358</f>
        <v>3266</v>
      </c>
      <c r="O358" s="432"/>
      <c r="P358" s="439"/>
      <c r="Q358" s="439"/>
      <c r="R358" s="439"/>
      <c r="S358" s="439"/>
      <c r="T358" s="440"/>
    </row>
    <row r="359" spans="3:23">
      <c r="D359" s="63"/>
      <c r="E359" s="9" t="s">
        <v>124</v>
      </c>
      <c r="K359" s="78">
        <v>2E-3</v>
      </c>
      <c r="N359" s="432">
        <f>$W366*$K359</f>
        <v>568</v>
      </c>
      <c r="O359" s="432"/>
      <c r="P359" s="432"/>
      <c r="Q359" s="432"/>
      <c r="R359" s="432"/>
      <c r="S359" s="432"/>
      <c r="T359" s="441"/>
    </row>
    <row r="360" spans="3:23">
      <c r="D360" s="63"/>
      <c r="E360" s="9" t="s">
        <v>609</v>
      </c>
      <c r="K360" s="78">
        <v>3.8899999999999998E-3</v>
      </c>
      <c r="N360" s="432">
        <f>$W366*$K360</f>
        <v>1104.76</v>
      </c>
      <c r="O360" s="432"/>
      <c r="P360" s="432"/>
      <c r="Q360" s="432"/>
      <c r="R360" s="432"/>
      <c r="S360" s="432"/>
      <c r="T360" s="441"/>
    </row>
    <row r="361" spans="3:23">
      <c r="D361" s="63"/>
      <c r="E361" s="9" t="s">
        <v>610</v>
      </c>
      <c r="K361" s="79">
        <v>1.2999999999999999E-2</v>
      </c>
      <c r="N361" s="432">
        <f>N355*$K361</f>
        <v>3215.2551392000005</v>
      </c>
      <c r="O361" s="432"/>
      <c r="P361" s="432"/>
      <c r="Q361" s="432"/>
      <c r="R361" s="432"/>
      <c r="S361" s="432"/>
      <c r="T361" s="441"/>
    </row>
    <row r="362" spans="3:23" ht="13" thickBot="1">
      <c r="D362" s="63"/>
      <c r="E362" s="9" t="s">
        <v>611</v>
      </c>
      <c r="K362" s="80">
        <v>0</v>
      </c>
      <c r="N362" s="432">
        <f>N356*$K362</f>
        <v>0</v>
      </c>
      <c r="O362" s="432"/>
      <c r="P362" s="432"/>
      <c r="Q362" s="432"/>
      <c r="R362" s="432"/>
      <c r="S362" s="432"/>
      <c r="T362" s="441"/>
    </row>
    <row r="363" spans="3:23" ht="13.5" thickBot="1">
      <c r="D363" s="68"/>
      <c r="E363" s="69" t="s">
        <v>607</v>
      </c>
      <c r="F363" s="69"/>
      <c r="G363" s="69"/>
      <c r="H363" s="69"/>
      <c r="I363" s="69"/>
      <c r="J363" s="69"/>
      <c r="K363" s="69"/>
      <c r="L363" s="69"/>
      <c r="M363" s="69"/>
      <c r="N363" s="435">
        <f>SUM(N357:O362)</f>
        <v>255481.33353920004</v>
      </c>
      <c r="O363" s="435"/>
      <c r="P363" s="81"/>
      <c r="Q363" s="81"/>
      <c r="R363" s="81"/>
      <c r="S363" s="81"/>
      <c r="T363" s="70"/>
    </row>
    <row r="364" spans="3:23">
      <c r="D364" s="63"/>
      <c r="E364" s="9" t="s">
        <v>612</v>
      </c>
      <c r="K364" s="72">
        <v>0</v>
      </c>
      <c r="N364" s="439">
        <f>N363*$K364</f>
        <v>0</v>
      </c>
      <c r="O364" s="439"/>
      <c r="P364" s="439"/>
      <c r="Q364" s="439"/>
      <c r="R364" s="439"/>
      <c r="S364" s="439"/>
      <c r="T364" s="440"/>
    </row>
    <row r="365" spans="3:23" ht="13" thickBot="1">
      <c r="D365" s="63"/>
      <c r="E365" s="9" t="s">
        <v>613</v>
      </c>
      <c r="K365" s="72">
        <v>0.03</v>
      </c>
      <c r="N365" s="442">
        <f>N363*$K365</f>
        <v>7664.4400061760007</v>
      </c>
      <c r="O365" s="442"/>
      <c r="P365" s="442"/>
      <c r="Q365" s="442"/>
      <c r="R365" s="442"/>
      <c r="S365" s="442"/>
      <c r="T365" s="443"/>
    </row>
    <row r="366" spans="3:23" ht="13.5" thickBot="1">
      <c r="C366" s="1">
        <v>11</v>
      </c>
      <c r="D366" s="68"/>
      <c r="E366" s="69" t="s">
        <v>607</v>
      </c>
      <c r="F366" s="69"/>
      <c r="G366" s="69"/>
      <c r="H366" s="69"/>
      <c r="I366" s="69"/>
      <c r="J366" s="69"/>
      <c r="K366" s="69"/>
      <c r="L366" s="69"/>
      <c r="M366" s="69"/>
      <c r="N366" s="435">
        <f>SUM(N363:O365)</f>
        <v>263145.77354537603</v>
      </c>
      <c r="O366" s="435"/>
      <c r="P366" s="81"/>
      <c r="Q366" s="81"/>
      <c r="R366" s="81"/>
      <c r="S366" s="81"/>
      <c r="T366" s="70"/>
      <c r="V366" s="76" t="s">
        <v>614</v>
      </c>
      <c r="W366">
        <v>284000</v>
      </c>
    </row>
    <row r="367" spans="3:23" ht="13" thickBot="1">
      <c r="C367" s="1"/>
      <c r="D367" s="63"/>
      <c r="E367" s="9" t="s">
        <v>615</v>
      </c>
      <c r="K367" s="72">
        <v>3.7499999999999999E-2</v>
      </c>
      <c r="N367" s="436">
        <f>N366*$K367</f>
        <v>9867.9665079515999</v>
      </c>
      <c r="O367" s="436"/>
      <c r="P367" s="436"/>
      <c r="Q367" s="436"/>
      <c r="R367" s="436"/>
      <c r="S367" s="436"/>
      <c r="T367" s="437"/>
    </row>
    <row r="368" spans="3:23" ht="13.5" thickBot="1">
      <c r="C368" s="1"/>
      <c r="D368" s="68"/>
      <c r="E368" s="69" t="s">
        <v>607</v>
      </c>
      <c r="F368" s="69"/>
      <c r="G368" s="69"/>
      <c r="H368" s="69"/>
      <c r="I368" s="69"/>
      <c r="J368" s="69"/>
      <c r="K368" s="69"/>
      <c r="L368" s="69"/>
      <c r="M368" s="69"/>
      <c r="N368" s="435">
        <f>SUM(N366:O367)</f>
        <v>273013.74005332764</v>
      </c>
      <c r="O368" s="435"/>
      <c r="P368" s="81"/>
      <c r="Q368" s="81"/>
      <c r="R368" s="81"/>
      <c r="S368" s="81"/>
      <c r="T368" s="70"/>
    </row>
    <row r="369" spans="4:20" ht="13" thickBot="1">
      <c r="D369" s="63"/>
      <c r="E369" s="9" t="s">
        <v>616</v>
      </c>
      <c r="K369" s="72">
        <v>0</v>
      </c>
      <c r="N369" s="436">
        <f>N368*$K369</f>
        <v>0</v>
      </c>
      <c r="O369" s="436"/>
      <c r="P369" s="436"/>
      <c r="Q369" s="436"/>
      <c r="R369" s="436"/>
      <c r="S369" s="436"/>
      <c r="T369" s="437"/>
    </row>
    <row r="370" spans="4:20" ht="13.5" thickBot="1">
      <c r="D370" s="73"/>
      <c r="E370" s="74" t="s">
        <v>18</v>
      </c>
      <c r="F370" s="74"/>
      <c r="G370" s="74"/>
      <c r="H370" s="74"/>
      <c r="I370" s="74"/>
      <c r="J370" s="74"/>
      <c r="K370" s="74"/>
      <c r="L370" s="74"/>
      <c r="M370" s="74"/>
      <c r="N370" s="438">
        <f>SUM(N368:O369)</f>
        <v>273013.74005332764</v>
      </c>
      <c r="O370" s="438"/>
      <c r="P370" s="82"/>
      <c r="Q370" s="82"/>
      <c r="R370" s="82"/>
      <c r="S370" s="82"/>
      <c r="T370" s="75"/>
    </row>
    <row r="371" spans="4:20" ht="13" thickTop="1"/>
    <row r="372" spans="4:20" ht="13" thickBot="1"/>
    <row r="373" spans="4:20" ht="13" thickTop="1">
      <c r="D373" s="59" t="s">
        <v>572</v>
      </c>
      <c r="E373" s="60" t="s">
        <v>573</v>
      </c>
      <c r="F373" s="61"/>
      <c r="G373" s="61"/>
      <c r="H373" s="61"/>
      <c r="I373" s="61"/>
      <c r="J373" s="61"/>
      <c r="K373" s="61"/>
      <c r="L373" s="61"/>
      <c r="M373" s="61"/>
      <c r="N373" s="61"/>
      <c r="O373" s="61"/>
      <c r="P373" s="61"/>
      <c r="Q373" s="61"/>
      <c r="R373" s="61"/>
      <c r="S373" s="61"/>
      <c r="T373" s="62"/>
    </row>
    <row r="374" spans="4:20">
      <c r="D374" s="63" t="str">
        <f>D19</f>
        <v>L</v>
      </c>
      <c r="E374" t="str">
        <f>E19</f>
        <v>Hip Roof @ Police</v>
      </c>
      <c r="T374" s="64"/>
    </row>
    <row r="375" spans="4:20">
      <c r="D375" s="65"/>
      <c r="E375" s="66" t="s">
        <v>600</v>
      </c>
      <c r="F375" s="66" t="s">
        <v>601</v>
      </c>
      <c r="G375" s="45"/>
      <c r="H375" s="45"/>
      <c r="I375" s="45"/>
      <c r="J375" s="45"/>
      <c r="K375" s="374" t="s">
        <v>602</v>
      </c>
      <c r="L375" s="374" t="s">
        <v>603</v>
      </c>
      <c r="M375" s="374" t="s">
        <v>604</v>
      </c>
      <c r="N375" s="444" t="s">
        <v>605</v>
      </c>
      <c r="O375" s="444"/>
      <c r="P375" s="444" t="s">
        <v>606</v>
      </c>
      <c r="Q375" s="444"/>
      <c r="R375" s="444"/>
      <c r="S375" s="444"/>
      <c r="T375" s="445"/>
    </row>
    <row r="376" spans="4:20">
      <c r="D376" s="63"/>
      <c r="H376">
        <f>198*2</f>
        <v>396</v>
      </c>
      <c r="I376">
        <f>H376*2</f>
        <v>792</v>
      </c>
      <c r="M376" s="67"/>
      <c r="N376" s="446">
        <f t="shared" ref="N376" si="42">K376*M376</f>
        <v>0</v>
      </c>
      <c r="O376" s="446"/>
      <c r="P376" s="446"/>
      <c r="Q376" s="446"/>
      <c r="R376" s="446"/>
      <c r="S376" s="446"/>
      <c r="T376" s="447"/>
    </row>
    <row r="377" spans="4:20">
      <c r="D377" s="63"/>
      <c r="F377" s="9" t="s">
        <v>393</v>
      </c>
      <c r="H377">
        <f>78*120</f>
        <v>9360</v>
      </c>
      <c r="K377">
        <f>H377*1.08</f>
        <v>10108.800000000001</v>
      </c>
      <c r="L377" s="9" t="s">
        <v>5</v>
      </c>
      <c r="M377" s="67">
        <v>28</v>
      </c>
      <c r="N377" s="432">
        <f>K377*M377</f>
        <v>283046.40000000002</v>
      </c>
      <c r="O377" s="432"/>
      <c r="P377" s="433"/>
      <c r="Q377" s="433"/>
      <c r="R377" s="433"/>
      <c r="S377" s="433"/>
      <c r="T377" s="434"/>
    </row>
    <row r="378" spans="4:20">
      <c r="D378" s="63"/>
      <c r="E378" s="9"/>
      <c r="F378" t="s">
        <v>852</v>
      </c>
      <c r="K378">
        <f>-H377</f>
        <v>-9360</v>
      </c>
      <c r="L378" s="9" t="s">
        <v>5</v>
      </c>
      <c r="M378" s="67">
        <v>14.75</v>
      </c>
      <c r="N378" s="432">
        <f t="shared" ref="N378:N383" si="43">K378*M378</f>
        <v>-138060</v>
      </c>
      <c r="O378" s="432"/>
      <c r="P378" s="433"/>
      <c r="Q378" s="433"/>
      <c r="R378" s="433"/>
      <c r="S378" s="433"/>
      <c r="T378" s="434"/>
    </row>
    <row r="379" spans="4:20">
      <c r="D379" s="63"/>
      <c r="F379" t="s">
        <v>394</v>
      </c>
      <c r="K379">
        <f>I376</f>
        <v>792</v>
      </c>
      <c r="L379" s="9" t="s">
        <v>5</v>
      </c>
      <c r="M379" s="67">
        <v>25</v>
      </c>
      <c r="N379" s="432">
        <f t="shared" si="43"/>
        <v>19800</v>
      </c>
      <c r="O379" s="432"/>
      <c r="P379" s="433"/>
      <c r="Q379" s="433"/>
      <c r="R379" s="433"/>
      <c r="S379" s="433"/>
      <c r="T379" s="434"/>
    </row>
    <row r="380" spans="4:20">
      <c r="D380" s="63"/>
      <c r="F380" t="s">
        <v>851</v>
      </c>
      <c r="K380">
        <v>120</v>
      </c>
      <c r="L380" s="9" t="s">
        <v>162</v>
      </c>
      <c r="M380" s="67">
        <v>550</v>
      </c>
      <c r="N380" s="432">
        <f t="shared" ref="N380" si="44">K380*M380</f>
        <v>66000</v>
      </c>
      <c r="O380" s="432"/>
      <c r="P380" s="433"/>
      <c r="Q380" s="433"/>
      <c r="R380" s="433"/>
      <c r="S380" s="433"/>
      <c r="T380" s="434"/>
    </row>
    <row r="381" spans="4:20">
      <c r="D381" s="63"/>
      <c r="F381" t="s">
        <v>777</v>
      </c>
      <c r="K381">
        <f>H377/2000</f>
        <v>4.68</v>
      </c>
      <c r="L381" s="9" t="s">
        <v>241</v>
      </c>
      <c r="M381" s="67">
        <v>5450</v>
      </c>
      <c r="N381" s="432">
        <f t="shared" ref="N381" si="45">K381*M381</f>
        <v>25506</v>
      </c>
      <c r="O381" s="432"/>
      <c r="P381" s="433"/>
      <c r="Q381" s="433"/>
      <c r="R381" s="433"/>
      <c r="S381" s="433"/>
      <c r="T381" s="434"/>
    </row>
    <row r="382" spans="4:20">
      <c r="D382" s="63"/>
      <c r="L382" s="9"/>
      <c r="M382" s="67"/>
      <c r="N382" s="432">
        <f t="shared" si="43"/>
        <v>0</v>
      </c>
      <c r="O382" s="432"/>
      <c r="P382" s="433"/>
      <c r="Q382" s="433"/>
      <c r="R382" s="433"/>
      <c r="S382" s="433"/>
      <c r="T382" s="434"/>
    </row>
    <row r="383" spans="4:20" ht="13" thickBot="1">
      <c r="D383" s="63"/>
      <c r="M383" s="67"/>
      <c r="N383" s="442">
        <f t="shared" si="43"/>
        <v>0</v>
      </c>
      <c r="O383" s="442"/>
      <c r="P383" s="442"/>
      <c r="Q383" s="442"/>
      <c r="R383" s="442"/>
      <c r="S383" s="442"/>
      <c r="T383" s="443"/>
    </row>
    <row r="384" spans="4:20" ht="13.5" thickBot="1">
      <c r="D384" s="68"/>
      <c r="E384" s="69" t="s">
        <v>607</v>
      </c>
      <c r="F384" s="69"/>
      <c r="G384" s="69"/>
      <c r="H384" s="69"/>
      <c r="I384" s="69"/>
      <c r="J384" s="69"/>
      <c r="K384" s="69"/>
      <c r="L384" s="69"/>
      <c r="M384" s="69"/>
      <c r="N384" s="435">
        <f>SUM(N375:O383)</f>
        <v>256292.40000000002</v>
      </c>
      <c r="O384" s="435"/>
      <c r="P384" s="81"/>
      <c r="Q384" s="81"/>
      <c r="R384" s="81"/>
      <c r="S384" s="81"/>
      <c r="T384" s="70"/>
    </row>
    <row r="385" spans="3:23" ht="13" thickBot="1">
      <c r="D385" s="63"/>
      <c r="E385" s="9" t="s">
        <v>608</v>
      </c>
      <c r="N385" s="436"/>
      <c r="O385" s="436"/>
      <c r="P385" s="436"/>
      <c r="Q385" s="436"/>
      <c r="R385" s="436"/>
      <c r="S385" s="436"/>
      <c r="T385" s="437"/>
    </row>
    <row r="386" spans="3:23" ht="13.5" thickBot="1">
      <c r="D386" s="68"/>
      <c r="E386" s="69" t="s">
        <v>607</v>
      </c>
      <c r="F386" s="69"/>
      <c r="G386" s="69"/>
      <c r="H386" s="69"/>
      <c r="I386" s="69"/>
      <c r="J386" s="69"/>
      <c r="K386" s="69"/>
      <c r="L386" s="69"/>
      <c r="M386" s="69"/>
      <c r="N386" s="435">
        <f>SUM(N384:O385)</f>
        <v>256292.40000000002</v>
      </c>
      <c r="O386" s="435"/>
      <c r="P386" s="81"/>
      <c r="Q386" s="81"/>
      <c r="R386" s="81"/>
      <c r="S386" s="81"/>
      <c r="T386" s="70"/>
    </row>
    <row r="387" spans="3:23">
      <c r="D387" s="63"/>
      <c r="E387" s="9" t="s">
        <v>123</v>
      </c>
      <c r="K387" s="71">
        <v>1.15E-2</v>
      </c>
      <c r="N387" s="432">
        <f>$W395*$K387</f>
        <v>3381</v>
      </c>
      <c r="O387" s="432"/>
      <c r="P387" s="439"/>
      <c r="Q387" s="439"/>
      <c r="R387" s="439"/>
      <c r="S387" s="439"/>
      <c r="T387" s="440"/>
    </row>
    <row r="388" spans="3:23">
      <c r="D388" s="63"/>
      <c r="E388" s="9" t="s">
        <v>124</v>
      </c>
      <c r="K388" s="78">
        <v>2E-3</v>
      </c>
      <c r="N388" s="432">
        <f>$W395*$K388</f>
        <v>588</v>
      </c>
      <c r="O388" s="432"/>
      <c r="P388" s="432"/>
      <c r="Q388" s="432"/>
      <c r="R388" s="432"/>
      <c r="S388" s="432"/>
      <c r="T388" s="441"/>
    </row>
    <row r="389" spans="3:23">
      <c r="D389" s="63"/>
      <c r="E389" s="9" t="s">
        <v>609</v>
      </c>
      <c r="K389" s="78">
        <v>3.8899999999999998E-3</v>
      </c>
      <c r="N389" s="432">
        <f>$W395*$K389</f>
        <v>1143.6599999999999</v>
      </c>
      <c r="O389" s="432"/>
      <c r="P389" s="432"/>
      <c r="Q389" s="432"/>
      <c r="R389" s="432"/>
      <c r="S389" s="432"/>
      <c r="T389" s="441"/>
    </row>
    <row r="390" spans="3:23">
      <c r="D390" s="63"/>
      <c r="E390" s="9" t="s">
        <v>610</v>
      </c>
      <c r="K390" s="79">
        <v>1.2999999999999999E-2</v>
      </c>
      <c r="N390" s="432">
        <f>N384*$K390</f>
        <v>3331.8012000000003</v>
      </c>
      <c r="O390" s="432"/>
      <c r="P390" s="432"/>
      <c r="Q390" s="432"/>
      <c r="R390" s="432"/>
      <c r="S390" s="432"/>
      <c r="T390" s="441"/>
    </row>
    <row r="391" spans="3:23" ht="13" thickBot="1">
      <c r="D391" s="63"/>
      <c r="E391" s="9" t="s">
        <v>611</v>
      </c>
      <c r="K391" s="80">
        <v>0</v>
      </c>
      <c r="N391" s="432">
        <f>N385*$K391</f>
        <v>0</v>
      </c>
      <c r="O391" s="432"/>
      <c r="P391" s="432"/>
      <c r="Q391" s="432"/>
      <c r="R391" s="432"/>
      <c r="S391" s="432"/>
      <c r="T391" s="441"/>
    </row>
    <row r="392" spans="3:23" ht="13.5" thickBot="1">
      <c r="D392" s="68"/>
      <c r="E392" s="69" t="s">
        <v>607</v>
      </c>
      <c r="F392" s="69"/>
      <c r="G392" s="69"/>
      <c r="H392" s="69"/>
      <c r="I392" s="69"/>
      <c r="J392" s="69"/>
      <c r="K392" s="69"/>
      <c r="L392" s="69"/>
      <c r="M392" s="69"/>
      <c r="N392" s="435">
        <f>SUM(N386:O391)</f>
        <v>264736.86120000004</v>
      </c>
      <c r="O392" s="435"/>
      <c r="P392" s="81"/>
      <c r="Q392" s="81"/>
      <c r="R392" s="81"/>
      <c r="S392" s="81"/>
      <c r="T392" s="70"/>
    </row>
    <row r="393" spans="3:23">
      <c r="D393" s="63"/>
      <c r="E393" s="9" t="s">
        <v>612</v>
      </c>
      <c r="K393" s="72">
        <v>0</v>
      </c>
      <c r="N393" s="439">
        <f>N392*$K393</f>
        <v>0</v>
      </c>
      <c r="O393" s="439"/>
      <c r="P393" s="439"/>
      <c r="Q393" s="439"/>
      <c r="R393" s="439"/>
      <c r="S393" s="439"/>
      <c r="T393" s="440"/>
    </row>
    <row r="394" spans="3:23" ht="13" thickBot="1">
      <c r="D394" s="63"/>
      <c r="E394" s="9" t="s">
        <v>613</v>
      </c>
      <c r="K394" s="72">
        <v>0.03</v>
      </c>
      <c r="N394" s="442">
        <f>N392*$K394</f>
        <v>7942.1058360000006</v>
      </c>
      <c r="O394" s="442"/>
      <c r="P394" s="442"/>
      <c r="Q394" s="442"/>
      <c r="R394" s="442"/>
      <c r="S394" s="442"/>
      <c r="T394" s="443"/>
    </row>
    <row r="395" spans="3:23" ht="13.5" thickBot="1">
      <c r="C395" s="1">
        <v>12</v>
      </c>
      <c r="D395" s="68"/>
      <c r="E395" s="69" t="s">
        <v>607</v>
      </c>
      <c r="F395" s="69"/>
      <c r="G395" s="69"/>
      <c r="H395" s="69"/>
      <c r="I395" s="69"/>
      <c r="J395" s="69"/>
      <c r="K395" s="69"/>
      <c r="L395" s="69"/>
      <c r="M395" s="69"/>
      <c r="N395" s="435">
        <f>SUM(N392:O394)</f>
        <v>272678.96703600005</v>
      </c>
      <c r="O395" s="435"/>
      <c r="P395" s="81"/>
      <c r="Q395" s="81"/>
      <c r="R395" s="81"/>
      <c r="S395" s="81"/>
      <c r="T395" s="70"/>
      <c r="V395" s="76" t="s">
        <v>614</v>
      </c>
      <c r="W395">
        <v>294000</v>
      </c>
    </row>
    <row r="396" spans="3:23" ht="13" thickBot="1">
      <c r="D396" s="63"/>
      <c r="E396" s="9" t="s">
        <v>615</v>
      </c>
      <c r="K396" s="72">
        <v>3.7499999999999999E-2</v>
      </c>
      <c r="N396" s="436">
        <f>N395*$K396</f>
        <v>10225.461263850002</v>
      </c>
      <c r="O396" s="436"/>
      <c r="P396" s="436"/>
      <c r="Q396" s="436"/>
      <c r="R396" s="436"/>
      <c r="S396" s="436"/>
      <c r="T396" s="437"/>
    </row>
    <row r="397" spans="3:23" ht="13.5" thickBot="1">
      <c r="D397" s="68"/>
      <c r="E397" s="69" t="s">
        <v>607</v>
      </c>
      <c r="F397" s="69"/>
      <c r="G397" s="69"/>
      <c r="H397" s="69"/>
      <c r="I397" s="69"/>
      <c r="J397" s="69"/>
      <c r="K397" s="69"/>
      <c r="L397" s="69"/>
      <c r="M397" s="69"/>
      <c r="N397" s="435">
        <f>SUM(N395:O396)</f>
        <v>282904.42829985003</v>
      </c>
      <c r="O397" s="435"/>
      <c r="P397" s="81"/>
      <c r="Q397" s="81"/>
      <c r="R397" s="81"/>
      <c r="S397" s="81"/>
      <c r="T397" s="70"/>
    </row>
    <row r="398" spans="3:23" ht="13" thickBot="1">
      <c r="D398" s="63"/>
      <c r="E398" s="9" t="s">
        <v>616</v>
      </c>
      <c r="K398" s="72">
        <v>0</v>
      </c>
      <c r="N398" s="436">
        <f>N397*$K398</f>
        <v>0</v>
      </c>
      <c r="O398" s="436"/>
      <c r="P398" s="436"/>
      <c r="Q398" s="436"/>
      <c r="R398" s="436"/>
      <c r="S398" s="436"/>
      <c r="T398" s="437"/>
    </row>
    <row r="399" spans="3:23" ht="13.5" thickBot="1">
      <c r="D399" s="73"/>
      <c r="E399" s="74" t="s">
        <v>18</v>
      </c>
      <c r="F399" s="74"/>
      <c r="G399" s="74"/>
      <c r="H399" s="74"/>
      <c r="I399" s="74"/>
      <c r="J399" s="74"/>
      <c r="K399" s="74"/>
      <c r="L399" s="74"/>
      <c r="M399" s="74"/>
      <c r="N399" s="438">
        <f>SUM(N397:O398)</f>
        <v>282904.42829985003</v>
      </c>
      <c r="O399" s="438"/>
      <c r="P399" s="82"/>
      <c r="Q399" s="82"/>
      <c r="R399" s="82"/>
      <c r="S399" s="82"/>
      <c r="T399" s="75"/>
    </row>
    <row r="401" spans="4:20" ht="13" thickBot="1"/>
    <row r="402" spans="4:20" ht="13" thickTop="1">
      <c r="D402" s="59" t="s">
        <v>572</v>
      </c>
      <c r="E402" s="60" t="s">
        <v>573</v>
      </c>
      <c r="F402" s="61"/>
      <c r="G402" s="61"/>
      <c r="H402" s="61"/>
      <c r="I402" s="61"/>
      <c r="J402" s="61"/>
      <c r="K402" s="61"/>
      <c r="L402" s="61"/>
      <c r="M402" s="61"/>
      <c r="N402" s="61"/>
      <c r="O402" s="61"/>
      <c r="P402" s="61"/>
      <c r="Q402" s="61"/>
      <c r="R402" s="61"/>
      <c r="S402" s="61"/>
      <c r="T402" s="62"/>
    </row>
    <row r="403" spans="4:20">
      <c r="D403" s="63" t="str">
        <f>D20</f>
        <v>M</v>
      </c>
      <c r="E403" t="str">
        <f>E20</f>
        <v>Curved Roof @ Police Entrance</v>
      </c>
      <c r="T403" s="64"/>
    </row>
    <row r="404" spans="4:20">
      <c r="D404" s="65"/>
      <c r="E404" s="66" t="s">
        <v>600</v>
      </c>
      <c r="F404" s="66" t="s">
        <v>601</v>
      </c>
      <c r="G404" s="45"/>
      <c r="H404" s="45"/>
      <c r="I404" s="45"/>
      <c r="J404" s="45"/>
      <c r="K404" s="374" t="s">
        <v>602</v>
      </c>
      <c r="L404" s="374" t="s">
        <v>603</v>
      </c>
      <c r="M404" s="374" t="s">
        <v>604</v>
      </c>
      <c r="N404" s="444" t="s">
        <v>605</v>
      </c>
      <c r="O404" s="444"/>
      <c r="P404" s="444" t="s">
        <v>606</v>
      </c>
      <c r="Q404" s="444"/>
      <c r="R404" s="444"/>
      <c r="S404" s="444"/>
      <c r="T404" s="445"/>
    </row>
    <row r="405" spans="4:20">
      <c r="D405" s="63"/>
      <c r="M405" s="67"/>
      <c r="N405" s="446">
        <f t="shared" ref="N405" si="46">K405*M405</f>
        <v>0</v>
      </c>
      <c r="O405" s="446"/>
      <c r="P405" s="446"/>
      <c r="Q405" s="446"/>
      <c r="R405" s="446"/>
      <c r="S405" s="446"/>
      <c r="T405" s="447"/>
    </row>
    <row r="406" spans="4:20">
      <c r="D406" s="63"/>
      <c r="L406" s="9"/>
      <c r="M406" s="67"/>
      <c r="N406" s="432">
        <f t="shared" ref="N406:N413" si="47">M406*K406</f>
        <v>0</v>
      </c>
      <c r="O406" s="432"/>
      <c r="P406" s="433"/>
      <c r="Q406" s="433"/>
      <c r="R406" s="433"/>
      <c r="S406" s="433"/>
      <c r="T406" s="434"/>
    </row>
    <row r="407" spans="4:20">
      <c r="D407" s="63"/>
      <c r="F407" s="9" t="s">
        <v>858</v>
      </c>
      <c r="K407">
        <f>36*65</f>
        <v>2340</v>
      </c>
      <c r="L407" s="9" t="s">
        <v>5</v>
      </c>
      <c r="M407" s="67">
        <v>10</v>
      </c>
      <c r="N407" s="432">
        <f t="shared" si="47"/>
        <v>23400</v>
      </c>
      <c r="O407" s="432"/>
      <c r="P407" s="433"/>
      <c r="Q407" s="433"/>
      <c r="R407" s="433"/>
      <c r="S407" s="433"/>
      <c r="T407" s="434"/>
    </row>
    <row r="408" spans="4:20">
      <c r="D408" s="63"/>
      <c r="F408" t="s">
        <v>857</v>
      </c>
      <c r="K408">
        <f>K407</f>
        <v>2340</v>
      </c>
      <c r="L408" s="9" t="s">
        <v>5</v>
      </c>
      <c r="M408" s="67">
        <v>40</v>
      </c>
      <c r="N408" s="432">
        <f t="shared" si="47"/>
        <v>93600</v>
      </c>
      <c r="O408" s="432"/>
      <c r="P408" s="433"/>
      <c r="Q408" s="433"/>
      <c r="R408" s="433"/>
      <c r="S408" s="433"/>
      <c r="T408" s="434"/>
    </row>
    <row r="409" spans="4:20">
      <c r="D409" s="63"/>
      <c r="L409" s="9"/>
      <c r="M409" s="67"/>
      <c r="N409" s="432">
        <f t="shared" si="47"/>
        <v>0</v>
      </c>
      <c r="O409" s="432"/>
      <c r="P409" s="433"/>
      <c r="Q409" s="433"/>
      <c r="R409" s="433"/>
      <c r="S409" s="433"/>
      <c r="T409" s="434"/>
    </row>
    <row r="410" spans="4:20">
      <c r="D410" s="63"/>
      <c r="L410" s="9"/>
      <c r="M410" s="408"/>
      <c r="N410" s="432">
        <f t="shared" si="47"/>
        <v>0</v>
      </c>
      <c r="O410" s="432"/>
      <c r="P410" s="433"/>
      <c r="Q410" s="433"/>
      <c r="R410" s="433"/>
      <c r="S410" s="433"/>
      <c r="T410" s="434"/>
    </row>
    <row r="411" spans="4:20">
      <c r="D411" s="63"/>
      <c r="E411" s="9"/>
      <c r="L411" s="9"/>
      <c r="M411" s="408"/>
      <c r="N411" s="432">
        <f t="shared" si="47"/>
        <v>0</v>
      </c>
      <c r="O411" s="432"/>
      <c r="P411" s="433"/>
      <c r="Q411" s="433"/>
      <c r="R411" s="433"/>
      <c r="S411" s="433"/>
      <c r="T411" s="434"/>
    </row>
    <row r="412" spans="4:20">
      <c r="D412" s="63"/>
      <c r="E412" s="9"/>
      <c r="L412" s="9"/>
      <c r="M412" s="408"/>
      <c r="N412" s="432">
        <f t="shared" si="47"/>
        <v>0</v>
      </c>
      <c r="O412" s="432"/>
      <c r="P412" s="433"/>
      <c r="Q412" s="433"/>
      <c r="R412" s="433"/>
      <c r="S412" s="433"/>
      <c r="T412" s="434"/>
    </row>
    <row r="413" spans="4:20">
      <c r="D413" s="63"/>
      <c r="E413" s="9"/>
      <c r="K413" s="409"/>
      <c r="L413" s="9"/>
      <c r="M413" s="408"/>
      <c r="N413" s="432">
        <f t="shared" si="47"/>
        <v>0</v>
      </c>
      <c r="O413" s="449"/>
      <c r="P413" s="405"/>
      <c r="Q413" s="405"/>
      <c r="R413" s="405"/>
      <c r="S413" s="405"/>
      <c r="T413" s="406"/>
    </row>
    <row r="414" spans="4:20" ht="13" thickBot="1">
      <c r="D414" s="63"/>
      <c r="L414" s="9"/>
      <c r="M414" s="408"/>
      <c r="N414" s="432">
        <f t="shared" ref="N414" si="48">K414*M414</f>
        <v>0</v>
      </c>
      <c r="O414" s="432"/>
      <c r="P414" s="433"/>
      <c r="Q414" s="433"/>
      <c r="R414" s="433"/>
      <c r="S414" s="433"/>
      <c r="T414" s="434"/>
    </row>
    <row r="415" spans="4:20" ht="13.5" thickBot="1">
      <c r="D415" s="68"/>
      <c r="E415" s="69" t="s">
        <v>607</v>
      </c>
      <c r="F415" s="69"/>
      <c r="G415" s="69"/>
      <c r="H415" s="69"/>
      <c r="I415" s="69"/>
      <c r="J415" s="69"/>
      <c r="K415" s="69"/>
      <c r="L415" s="69"/>
      <c r="M415" s="69"/>
      <c r="N415" s="435">
        <f>SUM(N404:O414)</f>
        <v>117000</v>
      </c>
      <c r="O415" s="435"/>
      <c r="P415" s="81"/>
      <c r="Q415" s="81"/>
      <c r="R415" s="81"/>
      <c r="S415" s="81"/>
      <c r="T415" s="70"/>
    </row>
    <row r="416" spans="4:20" ht="13" thickBot="1">
      <c r="D416" s="63"/>
      <c r="E416" s="9" t="s">
        <v>608</v>
      </c>
      <c r="N416" s="436"/>
      <c r="O416" s="436"/>
      <c r="P416" s="436"/>
      <c r="Q416" s="436"/>
      <c r="R416" s="436"/>
      <c r="S416" s="436"/>
      <c r="T416" s="437"/>
    </row>
    <row r="417" spans="3:23" ht="13.5" thickBot="1">
      <c r="D417" s="68"/>
      <c r="E417" s="69" t="s">
        <v>607</v>
      </c>
      <c r="F417" s="69"/>
      <c r="G417" s="69"/>
      <c r="H417" s="69"/>
      <c r="I417" s="69"/>
      <c r="J417" s="69"/>
      <c r="K417" s="69"/>
      <c r="L417" s="69"/>
      <c r="M417" s="69"/>
      <c r="N417" s="435">
        <f>SUM(N415:O416)</f>
        <v>117000</v>
      </c>
      <c r="O417" s="435"/>
      <c r="P417" s="81"/>
      <c r="Q417" s="81"/>
      <c r="R417" s="81"/>
      <c r="S417" s="81"/>
      <c r="T417" s="70"/>
    </row>
    <row r="418" spans="3:23">
      <c r="D418" s="63"/>
      <c r="E418" s="9" t="s">
        <v>123</v>
      </c>
      <c r="K418" s="71">
        <v>1.15E-2</v>
      </c>
      <c r="N418" s="432">
        <f>$W426*$K418</f>
        <v>1552.5</v>
      </c>
      <c r="O418" s="432"/>
      <c r="P418" s="439"/>
      <c r="Q418" s="439"/>
      <c r="R418" s="439"/>
      <c r="S418" s="439"/>
      <c r="T418" s="440"/>
    </row>
    <row r="419" spans="3:23">
      <c r="D419" s="63"/>
      <c r="E419" s="9" t="s">
        <v>124</v>
      </c>
      <c r="K419" s="78">
        <v>2E-3</v>
      </c>
      <c r="N419" s="432">
        <f>$W426*$K419</f>
        <v>270</v>
      </c>
      <c r="O419" s="432"/>
      <c r="P419" s="432"/>
      <c r="Q419" s="432"/>
      <c r="R419" s="432"/>
      <c r="S419" s="432"/>
      <c r="T419" s="441"/>
    </row>
    <row r="420" spans="3:23">
      <c r="D420" s="63"/>
      <c r="E420" s="9" t="s">
        <v>609</v>
      </c>
      <c r="K420" s="78">
        <v>3.8899999999999998E-3</v>
      </c>
      <c r="N420" s="432">
        <f>$W426*$K420</f>
        <v>525.15</v>
      </c>
      <c r="O420" s="432"/>
      <c r="P420" s="432"/>
      <c r="Q420" s="432"/>
      <c r="R420" s="432"/>
      <c r="S420" s="432"/>
      <c r="T420" s="441"/>
    </row>
    <row r="421" spans="3:23">
      <c r="D421" s="63"/>
      <c r="E421" s="9" t="s">
        <v>610</v>
      </c>
      <c r="K421" s="79">
        <v>1.2999999999999999E-2</v>
      </c>
      <c r="N421" s="432">
        <f>N415*$K421</f>
        <v>1521</v>
      </c>
      <c r="O421" s="432"/>
      <c r="P421" s="432"/>
      <c r="Q421" s="432"/>
      <c r="R421" s="432"/>
      <c r="S421" s="432"/>
      <c r="T421" s="441"/>
    </row>
    <row r="422" spans="3:23" ht="13" thickBot="1">
      <c r="D422" s="63"/>
      <c r="E422" s="9" t="s">
        <v>611</v>
      </c>
      <c r="K422" s="80">
        <v>0</v>
      </c>
      <c r="N422" s="432">
        <f>N416*$K422</f>
        <v>0</v>
      </c>
      <c r="O422" s="432"/>
      <c r="P422" s="432"/>
      <c r="Q422" s="432"/>
      <c r="R422" s="432"/>
      <c r="S422" s="432"/>
      <c r="T422" s="441"/>
    </row>
    <row r="423" spans="3:23" ht="13.5" thickBot="1">
      <c r="D423" s="68"/>
      <c r="E423" s="69" t="s">
        <v>607</v>
      </c>
      <c r="F423" s="69"/>
      <c r="G423" s="69"/>
      <c r="H423" s="69"/>
      <c r="I423" s="69"/>
      <c r="J423" s="69"/>
      <c r="K423" s="69"/>
      <c r="L423" s="69"/>
      <c r="M423" s="69"/>
      <c r="N423" s="435">
        <f>SUM(N417:O422)</f>
        <v>120868.65</v>
      </c>
      <c r="O423" s="435"/>
      <c r="P423" s="81"/>
      <c r="Q423" s="81"/>
      <c r="R423" s="81"/>
      <c r="S423" s="81"/>
      <c r="T423" s="70"/>
    </row>
    <row r="424" spans="3:23">
      <c r="D424" s="63"/>
      <c r="E424" s="9" t="s">
        <v>612</v>
      </c>
      <c r="K424" s="72">
        <v>0</v>
      </c>
      <c r="N424" s="439">
        <f>N423*$K424</f>
        <v>0</v>
      </c>
      <c r="O424" s="439"/>
      <c r="P424" s="439"/>
      <c r="Q424" s="439"/>
      <c r="R424" s="439"/>
      <c r="S424" s="439"/>
      <c r="T424" s="440"/>
    </row>
    <row r="425" spans="3:23" ht="13" thickBot="1">
      <c r="D425" s="63"/>
      <c r="E425" s="9" t="s">
        <v>613</v>
      </c>
      <c r="K425" s="72">
        <v>0.03</v>
      </c>
      <c r="N425" s="442">
        <f>N423*$K425</f>
        <v>3626.0594999999998</v>
      </c>
      <c r="O425" s="442"/>
      <c r="P425" s="442"/>
      <c r="Q425" s="442"/>
      <c r="R425" s="442"/>
      <c r="S425" s="442"/>
      <c r="T425" s="443"/>
    </row>
    <row r="426" spans="3:23" ht="13.5" thickBot="1">
      <c r="C426" s="1">
        <v>13</v>
      </c>
      <c r="D426" s="68"/>
      <c r="E426" s="69" t="s">
        <v>607</v>
      </c>
      <c r="F426" s="69"/>
      <c r="G426" s="69"/>
      <c r="H426" s="69"/>
      <c r="I426" s="69"/>
      <c r="J426" s="69"/>
      <c r="K426" s="69"/>
      <c r="L426" s="69"/>
      <c r="M426" s="69"/>
      <c r="N426" s="435">
        <f>SUM(N423:O425)</f>
        <v>124494.7095</v>
      </c>
      <c r="O426" s="435"/>
      <c r="P426" s="81"/>
      <c r="Q426" s="81"/>
      <c r="R426" s="81"/>
      <c r="S426" s="81"/>
      <c r="T426" s="70"/>
      <c r="V426" s="76" t="s">
        <v>614</v>
      </c>
      <c r="W426">
        <v>135000</v>
      </c>
    </row>
    <row r="427" spans="3:23" ht="13" thickBot="1">
      <c r="C427" s="1"/>
      <c r="D427" s="63"/>
      <c r="E427" s="9" t="s">
        <v>615</v>
      </c>
      <c r="K427" s="72">
        <v>3.7499999999999999E-2</v>
      </c>
      <c r="N427" s="436">
        <f>N426*$K427</f>
        <v>4668.5516062500001</v>
      </c>
      <c r="O427" s="436"/>
      <c r="P427" s="436"/>
      <c r="Q427" s="436"/>
      <c r="R427" s="436"/>
      <c r="S427" s="436"/>
      <c r="T427" s="437"/>
    </row>
    <row r="428" spans="3:23" ht="13.5" thickBot="1">
      <c r="C428" s="1"/>
      <c r="D428" s="68"/>
      <c r="E428" s="69" t="s">
        <v>607</v>
      </c>
      <c r="F428" s="69"/>
      <c r="G428" s="69"/>
      <c r="H428" s="69"/>
      <c r="I428" s="69"/>
      <c r="J428" s="69"/>
      <c r="K428" s="69"/>
      <c r="L428" s="69"/>
      <c r="M428" s="69"/>
      <c r="N428" s="435">
        <f>SUM(N426:O427)</f>
        <v>129163.26110624999</v>
      </c>
      <c r="O428" s="435"/>
      <c r="P428" s="81"/>
      <c r="Q428" s="81"/>
      <c r="R428" s="81"/>
      <c r="S428" s="81"/>
      <c r="T428" s="70"/>
    </row>
    <row r="429" spans="3:23" ht="13" thickBot="1">
      <c r="D429" s="63"/>
      <c r="E429" s="9" t="s">
        <v>616</v>
      </c>
      <c r="K429" s="72">
        <v>0</v>
      </c>
      <c r="N429" s="436">
        <f>N428*$K429</f>
        <v>0</v>
      </c>
      <c r="O429" s="436"/>
      <c r="P429" s="436"/>
      <c r="Q429" s="436"/>
      <c r="R429" s="436"/>
      <c r="S429" s="436"/>
      <c r="T429" s="437"/>
    </row>
    <row r="430" spans="3:23" ht="13.5" thickBot="1">
      <c r="D430" s="73"/>
      <c r="E430" s="74" t="s">
        <v>18</v>
      </c>
      <c r="F430" s="74"/>
      <c r="G430" s="74"/>
      <c r="H430" s="74"/>
      <c r="I430" s="74"/>
      <c r="J430" s="74"/>
      <c r="K430" s="74"/>
      <c r="L430" s="74"/>
      <c r="M430" s="74"/>
      <c r="N430" s="438">
        <f>SUM(N428:O429)</f>
        <v>129163.26110624999</v>
      </c>
      <c r="O430" s="438"/>
      <c r="P430" s="82"/>
      <c r="Q430" s="82"/>
      <c r="R430" s="82"/>
      <c r="S430" s="82"/>
      <c r="T430" s="75"/>
    </row>
    <row r="431" spans="3:23" ht="13" thickTop="1"/>
    <row r="432" spans="3:23" ht="13" thickBot="1"/>
    <row r="433" spans="4:20" ht="13" thickTop="1">
      <c r="D433" s="59" t="s">
        <v>572</v>
      </c>
      <c r="E433" s="60" t="s">
        <v>573</v>
      </c>
      <c r="F433" s="61"/>
      <c r="G433" s="61"/>
      <c r="H433" s="61"/>
      <c r="I433" s="61"/>
      <c r="J433" s="61"/>
      <c r="K433" s="61"/>
      <c r="L433" s="61"/>
      <c r="M433" s="61"/>
      <c r="N433" s="61"/>
      <c r="O433" s="61"/>
      <c r="P433" s="61"/>
      <c r="Q433" s="61"/>
      <c r="R433" s="61"/>
      <c r="S433" s="61"/>
      <c r="T433" s="62"/>
    </row>
    <row r="434" spans="4:20">
      <c r="D434" s="63" t="str">
        <f>D21</f>
        <v>N</v>
      </c>
      <c r="E434" t="str">
        <f>E21</f>
        <v>VOID</v>
      </c>
      <c r="T434" s="64"/>
    </row>
    <row r="435" spans="4:20">
      <c r="D435" s="65"/>
      <c r="E435" s="66" t="s">
        <v>600</v>
      </c>
      <c r="F435" s="66" t="s">
        <v>601</v>
      </c>
      <c r="G435" s="45"/>
      <c r="H435" s="45"/>
      <c r="I435" s="45"/>
      <c r="J435" s="45"/>
      <c r="K435" s="374" t="s">
        <v>602</v>
      </c>
      <c r="L435" s="374" t="s">
        <v>603</v>
      </c>
      <c r="M435" s="374" t="s">
        <v>604</v>
      </c>
      <c r="N435" s="444" t="s">
        <v>605</v>
      </c>
      <c r="O435" s="444"/>
      <c r="P435" s="444" t="s">
        <v>606</v>
      </c>
      <c r="Q435" s="444"/>
      <c r="R435" s="444"/>
      <c r="S435" s="444"/>
      <c r="T435" s="445"/>
    </row>
    <row r="436" spans="4:20">
      <c r="D436" s="63"/>
      <c r="H436">
        <v>0</v>
      </c>
      <c r="I436">
        <v>0</v>
      </c>
      <c r="M436" s="67"/>
      <c r="N436" s="446">
        <f t="shared" ref="N436" si="49">K436*M436</f>
        <v>0</v>
      </c>
      <c r="O436" s="446"/>
      <c r="P436" s="446"/>
      <c r="Q436" s="446"/>
      <c r="R436" s="446"/>
      <c r="S436" s="446"/>
      <c r="T436" s="447"/>
    </row>
    <row r="437" spans="4:20">
      <c r="D437" s="63"/>
      <c r="F437" s="9"/>
      <c r="K437" s="411">
        <v>0</v>
      </c>
      <c r="L437" s="9" t="s">
        <v>343</v>
      </c>
      <c r="M437" s="67">
        <v>0</v>
      </c>
      <c r="N437" s="432">
        <f>K437*M437</f>
        <v>0</v>
      </c>
      <c r="O437" s="432"/>
      <c r="P437" s="433"/>
      <c r="Q437" s="433"/>
      <c r="R437" s="433"/>
      <c r="S437" s="433"/>
      <c r="T437" s="434"/>
    </row>
    <row r="438" spans="4:20">
      <c r="D438" s="63"/>
      <c r="E438" s="9"/>
      <c r="F438" s="9"/>
      <c r="K438" s="411">
        <v>0</v>
      </c>
      <c r="L438" s="9" t="s">
        <v>343</v>
      </c>
      <c r="M438" s="67">
        <v>0</v>
      </c>
      <c r="N438" s="432">
        <f t="shared" ref="N438:N441" si="50">K438*M438</f>
        <v>0</v>
      </c>
      <c r="O438" s="432"/>
      <c r="P438" s="433"/>
      <c r="Q438" s="433"/>
      <c r="R438" s="433"/>
      <c r="S438" s="433"/>
      <c r="T438" s="434"/>
    </row>
    <row r="439" spans="4:20">
      <c r="D439" s="63"/>
      <c r="F439" s="9"/>
      <c r="K439" s="411">
        <v>0</v>
      </c>
      <c r="L439" s="9" t="s">
        <v>7</v>
      </c>
      <c r="M439" s="67">
        <v>0</v>
      </c>
      <c r="N439" s="432">
        <f t="shared" si="50"/>
        <v>0</v>
      </c>
      <c r="O439" s="432"/>
      <c r="P439" s="433"/>
      <c r="Q439" s="433"/>
      <c r="R439" s="433"/>
      <c r="S439" s="433"/>
      <c r="T439" s="434"/>
    </row>
    <row r="440" spans="4:20">
      <c r="D440" s="63"/>
      <c r="F440" s="9"/>
      <c r="K440" s="411">
        <v>0</v>
      </c>
      <c r="L440" s="9" t="s">
        <v>162</v>
      </c>
      <c r="M440" s="67">
        <v>0</v>
      </c>
      <c r="N440" s="432">
        <f t="shared" si="50"/>
        <v>0</v>
      </c>
      <c r="O440" s="432"/>
      <c r="P440" s="433"/>
      <c r="Q440" s="433"/>
      <c r="R440" s="433"/>
      <c r="S440" s="433"/>
      <c r="T440" s="434"/>
    </row>
    <row r="441" spans="4:20">
      <c r="D441" s="63"/>
      <c r="F441" s="9"/>
      <c r="K441" s="411">
        <v>0</v>
      </c>
      <c r="L441" s="9" t="s">
        <v>7</v>
      </c>
      <c r="M441" s="67">
        <v>0</v>
      </c>
      <c r="N441" s="432">
        <f t="shared" si="50"/>
        <v>0</v>
      </c>
      <c r="O441" s="432"/>
      <c r="P441" s="433"/>
      <c r="Q441" s="433"/>
      <c r="R441" s="433"/>
      <c r="S441" s="433"/>
      <c r="T441" s="434"/>
    </row>
    <row r="442" spans="4:20">
      <c r="D442" s="63"/>
      <c r="F442" s="9"/>
      <c r="K442" s="411">
        <v>0</v>
      </c>
      <c r="L442" s="9" t="s">
        <v>162</v>
      </c>
      <c r="M442" s="67">
        <v>0</v>
      </c>
      <c r="N442" s="432">
        <f>K442*M442</f>
        <v>0</v>
      </c>
      <c r="O442" s="432"/>
      <c r="P442" s="433"/>
      <c r="Q442" s="433"/>
      <c r="R442" s="433"/>
      <c r="S442" s="433"/>
      <c r="T442" s="434"/>
    </row>
    <row r="443" spans="4:20">
      <c r="D443" s="63"/>
      <c r="F443" s="9"/>
      <c r="K443" s="411">
        <v>0</v>
      </c>
      <c r="L443" s="9" t="s">
        <v>162</v>
      </c>
      <c r="M443" s="67">
        <v>0</v>
      </c>
      <c r="N443" s="432">
        <f t="shared" ref="N443:N444" si="51">K443*M443</f>
        <v>0</v>
      </c>
      <c r="O443" s="432"/>
      <c r="P443" s="433"/>
      <c r="Q443" s="433"/>
      <c r="R443" s="433"/>
      <c r="S443" s="433"/>
      <c r="T443" s="434"/>
    </row>
    <row r="444" spans="4:20">
      <c r="D444" s="63"/>
      <c r="F444" s="9"/>
      <c r="K444" s="411">
        <v>0</v>
      </c>
      <c r="L444" s="9" t="s">
        <v>164</v>
      </c>
      <c r="M444" s="67">
        <v>0</v>
      </c>
      <c r="N444" s="432">
        <f t="shared" si="51"/>
        <v>0</v>
      </c>
      <c r="O444" s="432"/>
      <c r="P444" s="433"/>
      <c r="Q444" s="433"/>
      <c r="R444" s="433"/>
      <c r="S444" s="433"/>
      <c r="T444" s="434"/>
    </row>
    <row r="445" spans="4:20">
      <c r="D445" s="63"/>
      <c r="F445" s="9"/>
      <c r="L445" s="9"/>
      <c r="M445" s="67"/>
      <c r="N445" s="432">
        <f>K445*M445</f>
        <v>0</v>
      </c>
      <c r="O445" s="432"/>
      <c r="P445" s="433"/>
      <c r="Q445" s="433"/>
      <c r="R445" s="433"/>
      <c r="S445" s="433"/>
      <c r="T445" s="434"/>
    </row>
    <row r="446" spans="4:20">
      <c r="D446" s="63"/>
      <c r="E446" s="9"/>
      <c r="L446" s="9"/>
      <c r="M446" s="67"/>
      <c r="N446" s="432">
        <f t="shared" ref="N446" si="52">K446*M446</f>
        <v>0</v>
      </c>
      <c r="O446" s="432"/>
      <c r="P446" s="433"/>
      <c r="Q446" s="433"/>
      <c r="R446" s="433"/>
      <c r="S446" s="433"/>
      <c r="T446" s="434"/>
    </row>
    <row r="447" spans="4:20" ht="13" thickBot="1">
      <c r="D447" s="63"/>
      <c r="M447" s="67"/>
      <c r="N447" s="442">
        <f t="shared" ref="N447" si="53">K447*M447</f>
        <v>0</v>
      </c>
      <c r="O447" s="442"/>
      <c r="P447" s="442"/>
      <c r="Q447" s="442"/>
      <c r="R447" s="442"/>
      <c r="S447" s="442"/>
      <c r="T447" s="443"/>
    </row>
    <row r="448" spans="4:20" ht="13.5" thickBot="1">
      <c r="D448" s="68"/>
      <c r="E448" s="69" t="s">
        <v>607</v>
      </c>
      <c r="F448" s="69"/>
      <c r="G448" s="69"/>
      <c r="H448" s="69"/>
      <c r="I448" s="69"/>
      <c r="J448" s="69"/>
      <c r="K448" s="69"/>
      <c r="L448" s="69"/>
      <c r="M448" s="69"/>
      <c r="N448" s="435">
        <f>SUM(N435:O447)</f>
        <v>0</v>
      </c>
      <c r="O448" s="435"/>
      <c r="P448" s="81"/>
      <c r="Q448" s="81"/>
      <c r="R448" s="81"/>
      <c r="S448" s="81"/>
      <c r="T448" s="70"/>
    </row>
    <row r="449" spans="3:23" ht="13" thickBot="1">
      <c r="D449" s="63"/>
      <c r="E449" s="9" t="s">
        <v>608</v>
      </c>
      <c r="N449" s="436"/>
      <c r="O449" s="436"/>
      <c r="P449" s="436"/>
      <c r="Q449" s="436"/>
      <c r="R449" s="436"/>
      <c r="S449" s="436"/>
      <c r="T449" s="437"/>
    </row>
    <row r="450" spans="3:23" ht="13.5" thickBot="1">
      <c r="D450" s="68"/>
      <c r="E450" s="69" t="s">
        <v>607</v>
      </c>
      <c r="F450" s="69"/>
      <c r="G450" s="69"/>
      <c r="H450" s="69"/>
      <c r="I450" s="69"/>
      <c r="J450" s="69"/>
      <c r="K450" s="69"/>
      <c r="L450" s="69"/>
      <c r="M450" s="69"/>
      <c r="N450" s="435">
        <f>SUM(N448:O449)</f>
        <v>0</v>
      </c>
      <c r="O450" s="435"/>
      <c r="P450" s="81"/>
      <c r="Q450" s="81"/>
      <c r="R450" s="81"/>
      <c r="S450" s="81"/>
      <c r="T450" s="70"/>
    </row>
    <row r="451" spans="3:23">
      <c r="D451" s="63"/>
      <c r="E451" s="9" t="s">
        <v>123</v>
      </c>
      <c r="K451" s="71">
        <v>1.15E-2</v>
      </c>
      <c r="N451" s="432">
        <f>$W459*$K451</f>
        <v>0</v>
      </c>
      <c r="O451" s="432"/>
      <c r="P451" s="439"/>
      <c r="Q451" s="439"/>
      <c r="R451" s="439"/>
      <c r="S451" s="439"/>
      <c r="T451" s="440"/>
    </row>
    <row r="452" spans="3:23">
      <c r="D452" s="63"/>
      <c r="E452" s="9" t="s">
        <v>124</v>
      </c>
      <c r="K452" s="78">
        <v>2E-3</v>
      </c>
      <c r="N452" s="432">
        <f>$W459*$K452</f>
        <v>0</v>
      </c>
      <c r="O452" s="432"/>
      <c r="P452" s="432"/>
      <c r="Q452" s="432"/>
      <c r="R452" s="432"/>
      <c r="S452" s="432"/>
      <c r="T452" s="441"/>
    </row>
    <row r="453" spans="3:23">
      <c r="D453" s="63"/>
      <c r="E453" s="9" t="s">
        <v>609</v>
      </c>
      <c r="K453" s="78">
        <v>3.8899999999999998E-3</v>
      </c>
      <c r="N453" s="432">
        <f>$W459*$K453</f>
        <v>0</v>
      </c>
      <c r="O453" s="432"/>
      <c r="P453" s="432"/>
      <c r="Q453" s="432"/>
      <c r="R453" s="432"/>
      <c r="S453" s="432"/>
      <c r="T453" s="441"/>
    </row>
    <row r="454" spans="3:23">
      <c r="D454" s="63"/>
      <c r="E454" s="9" t="s">
        <v>610</v>
      </c>
      <c r="K454" s="79">
        <v>1.2999999999999999E-2</v>
      </c>
      <c r="N454" s="432">
        <f>N448*$K454</f>
        <v>0</v>
      </c>
      <c r="O454" s="432"/>
      <c r="P454" s="432"/>
      <c r="Q454" s="432"/>
      <c r="R454" s="432"/>
      <c r="S454" s="432"/>
      <c r="T454" s="441"/>
    </row>
    <row r="455" spans="3:23" ht="13" thickBot="1">
      <c r="D455" s="63"/>
      <c r="E455" s="9" t="s">
        <v>611</v>
      </c>
      <c r="K455" s="80">
        <v>0</v>
      </c>
      <c r="N455" s="432">
        <f>N449*$K455</f>
        <v>0</v>
      </c>
      <c r="O455" s="432"/>
      <c r="P455" s="432"/>
      <c r="Q455" s="432"/>
      <c r="R455" s="432"/>
      <c r="S455" s="432"/>
      <c r="T455" s="441"/>
    </row>
    <row r="456" spans="3:23" ht="13.5" thickBot="1">
      <c r="D456" s="68"/>
      <c r="E456" s="69" t="s">
        <v>607</v>
      </c>
      <c r="F456" s="69"/>
      <c r="G456" s="69"/>
      <c r="H456" s="69"/>
      <c r="I456" s="69"/>
      <c r="J456" s="69"/>
      <c r="K456" s="69"/>
      <c r="L456" s="69"/>
      <c r="M456" s="69"/>
      <c r="N456" s="435">
        <f>SUM(N450:O455)</f>
        <v>0</v>
      </c>
      <c r="O456" s="435"/>
      <c r="P456" s="81"/>
      <c r="Q456" s="81"/>
      <c r="R456" s="81"/>
      <c r="S456" s="81"/>
      <c r="T456" s="70"/>
    </row>
    <row r="457" spans="3:23">
      <c r="D457" s="63"/>
      <c r="E457" s="9" t="s">
        <v>612</v>
      </c>
      <c r="K457" s="72">
        <v>0</v>
      </c>
      <c r="N457" s="439">
        <f>N456*$K457</f>
        <v>0</v>
      </c>
      <c r="O457" s="439"/>
      <c r="P457" s="439"/>
      <c r="Q457" s="439"/>
      <c r="R457" s="439"/>
      <c r="S457" s="439"/>
      <c r="T457" s="440"/>
    </row>
    <row r="458" spans="3:23" ht="13" thickBot="1">
      <c r="D458" s="63"/>
      <c r="E458" s="9" t="s">
        <v>613</v>
      </c>
      <c r="K458" s="72">
        <v>0.03</v>
      </c>
      <c r="N458" s="442">
        <f>N456*$K458</f>
        <v>0</v>
      </c>
      <c r="O458" s="442"/>
      <c r="P458" s="442"/>
      <c r="Q458" s="442"/>
      <c r="R458" s="442"/>
      <c r="S458" s="442"/>
      <c r="T458" s="443"/>
    </row>
    <row r="459" spans="3:23" ht="13.5" thickBot="1">
      <c r="C459" s="1">
        <v>14</v>
      </c>
      <c r="D459" s="68"/>
      <c r="E459" s="69" t="s">
        <v>607</v>
      </c>
      <c r="F459" s="69"/>
      <c r="G459" s="69"/>
      <c r="H459" s="69"/>
      <c r="I459" s="69"/>
      <c r="J459" s="69"/>
      <c r="K459" s="69"/>
      <c r="L459" s="69"/>
      <c r="M459" s="69"/>
      <c r="N459" s="435">
        <f>SUM(N456:O458)</f>
        <v>0</v>
      </c>
      <c r="O459" s="435"/>
      <c r="P459" s="81"/>
      <c r="Q459" s="81"/>
      <c r="R459" s="81"/>
      <c r="S459" s="81"/>
      <c r="T459" s="70"/>
      <c r="V459" s="76" t="s">
        <v>614</v>
      </c>
      <c r="W459">
        <v>0</v>
      </c>
    </row>
    <row r="460" spans="3:23" ht="13" thickBot="1">
      <c r="D460" s="63"/>
      <c r="E460" s="9" t="s">
        <v>615</v>
      </c>
      <c r="K460" s="72">
        <v>3.7499999999999999E-2</v>
      </c>
      <c r="N460" s="436">
        <f>N459*$K460</f>
        <v>0</v>
      </c>
      <c r="O460" s="436"/>
      <c r="P460" s="436"/>
      <c r="Q460" s="436"/>
      <c r="R460" s="436"/>
      <c r="S460" s="436"/>
      <c r="T460" s="437"/>
    </row>
    <row r="461" spans="3:23" ht="13.5" thickBot="1">
      <c r="D461" s="68"/>
      <c r="E461" s="69" t="s">
        <v>607</v>
      </c>
      <c r="F461" s="69"/>
      <c r="G461" s="69"/>
      <c r="H461" s="69"/>
      <c r="I461" s="69"/>
      <c r="J461" s="69"/>
      <c r="K461" s="69"/>
      <c r="L461" s="69"/>
      <c r="M461" s="69"/>
      <c r="N461" s="435">
        <f>SUM(N459:O460)</f>
        <v>0</v>
      </c>
      <c r="O461" s="435"/>
      <c r="P461" s="81"/>
      <c r="Q461" s="81"/>
      <c r="R461" s="81"/>
      <c r="S461" s="81"/>
      <c r="T461" s="70"/>
    </row>
    <row r="462" spans="3:23" ht="13" thickBot="1">
      <c r="D462" s="63"/>
      <c r="E462" s="9" t="s">
        <v>616</v>
      </c>
      <c r="K462" s="72">
        <v>0</v>
      </c>
      <c r="N462" s="436">
        <f>N461*$K462</f>
        <v>0</v>
      </c>
      <c r="O462" s="436"/>
      <c r="P462" s="436"/>
      <c r="Q462" s="436"/>
      <c r="R462" s="436"/>
      <c r="S462" s="436"/>
      <c r="T462" s="437"/>
    </row>
    <row r="463" spans="3:23" ht="13.5" thickBot="1">
      <c r="D463" s="73"/>
      <c r="E463" s="74" t="s">
        <v>18</v>
      </c>
      <c r="F463" s="74"/>
      <c r="G463" s="74"/>
      <c r="H463" s="74"/>
      <c r="I463" s="74"/>
      <c r="J463" s="74"/>
      <c r="K463" s="74"/>
      <c r="L463" s="74"/>
      <c r="M463" s="74"/>
      <c r="N463" s="438">
        <f>SUM(N461:O462)</f>
        <v>0</v>
      </c>
      <c r="O463" s="438"/>
      <c r="P463" s="82"/>
      <c r="Q463" s="82"/>
      <c r="R463" s="82"/>
      <c r="S463" s="82"/>
      <c r="T463" s="75"/>
      <c r="U463" s="398">
        <f>N463/3500</f>
        <v>0</v>
      </c>
    </row>
    <row r="464" spans="3:23" ht="13" thickTop="1"/>
    <row r="465" spans="4:20" ht="13" thickBot="1"/>
    <row r="466" spans="4:20" ht="13" thickTop="1">
      <c r="D466" s="59" t="s">
        <v>572</v>
      </c>
      <c r="E466" s="60" t="s">
        <v>573</v>
      </c>
      <c r="F466" s="61"/>
      <c r="G466" s="61"/>
      <c r="H466" s="61"/>
      <c r="I466" s="61"/>
      <c r="J466" s="61"/>
      <c r="K466" s="61"/>
      <c r="L466" s="61"/>
      <c r="M466" s="61"/>
      <c r="N466" s="61"/>
      <c r="O466" s="61"/>
      <c r="P466" s="61"/>
      <c r="Q466" s="61"/>
      <c r="R466" s="61"/>
      <c r="S466" s="61"/>
      <c r="T466" s="62"/>
    </row>
    <row r="467" spans="4:20">
      <c r="D467" s="63" t="str">
        <f>D22</f>
        <v>O</v>
      </c>
      <c r="E467" t="str">
        <f>E22</f>
        <v>Remote Storage Building</v>
      </c>
      <c r="T467" s="64"/>
    </row>
    <row r="468" spans="4:20">
      <c r="D468" s="65"/>
      <c r="E468" s="66" t="s">
        <v>600</v>
      </c>
      <c r="F468" s="66" t="s">
        <v>601</v>
      </c>
      <c r="G468" s="45"/>
      <c r="H468" s="45"/>
      <c r="I468" s="45"/>
      <c r="J468" s="45"/>
      <c r="K468" s="374" t="s">
        <v>602</v>
      </c>
      <c r="L468" s="374" t="s">
        <v>603</v>
      </c>
      <c r="M468" s="374" t="s">
        <v>604</v>
      </c>
      <c r="N468" s="444" t="s">
        <v>605</v>
      </c>
      <c r="O468" s="444"/>
      <c r="P468" s="444" t="s">
        <v>606</v>
      </c>
      <c r="Q468" s="444"/>
      <c r="R468" s="444"/>
      <c r="S468" s="444"/>
      <c r="T468" s="445"/>
    </row>
    <row r="469" spans="4:20">
      <c r="D469" s="63"/>
      <c r="M469" s="67"/>
      <c r="N469" s="446">
        <f t="shared" ref="N469" si="54">K469*M469</f>
        <v>0</v>
      </c>
      <c r="O469" s="446"/>
      <c r="P469" s="446"/>
      <c r="Q469" s="446"/>
      <c r="R469" s="446"/>
      <c r="S469" s="446"/>
      <c r="T469" s="447"/>
    </row>
    <row r="470" spans="4:20">
      <c r="D470" s="63"/>
      <c r="F470" t="s">
        <v>861</v>
      </c>
      <c r="K470">
        <v>1000</v>
      </c>
      <c r="L470" s="9" t="s">
        <v>5</v>
      </c>
      <c r="M470" s="67">
        <v>10</v>
      </c>
      <c r="N470" s="432">
        <f>K470*M470</f>
        <v>10000</v>
      </c>
      <c r="O470" s="432"/>
      <c r="P470" s="433"/>
      <c r="Q470" s="433"/>
      <c r="R470" s="433"/>
      <c r="S470" s="433"/>
      <c r="T470" s="434"/>
    </row>
    <row r="471" spans="4:20">
      <c r="D471" s="63"/>
      <c r="E471" s="9"/>
      <c r="F471" s="9" t="s">
        <v>448</v>
      </c>
      <c r="K471">
        <v>1000</v>
      </c>
      <c r="L471" s="9" t="s">
        <v>5</v>
      </c>
      <c r="M471" s="67">
        <v>40</v>
      </c>
      <c r="N471" s="432">
        <f t="shared" ref="N471:N479" si="55">K471*M471</f>
        <v>40000</v>
      </c>
      <c r="O471" s="432"/>
      <c r="P471" s="433"/>
      <c r="Q471" s="433"/>
      <c r="R471" s="433"/>
      <c r="S471" s="433"/>
      <c r="T471" s="434"/>
    </row>
    <row r="472" spans="4:20">
      <c r="D472" s="63"/>
      <c r="F472" s="9" t="s">
        <v>862</v>
      </c>
      <c r="K472">
        <f>140*15</f>
        <v>2100</v>
      </c>
      <c r="L472" s="9" t="s">
        <v>5</v>
      </c>
      <c r="M472" s="67">
        <v>7</v>
      </c>
      <c r="N472" s="432">
        <f t="shared" ref="N472:N475" si="56">K472*M472</f>
        <v>14700</v>
      </c>
      <c r="O472" s="432"/>
      <c r="P472" s="433"/>
      <c r="Q472" s="433"/>
      <c r="R472" s="433"/>
      <c r="S472" s="433"/>
      <c r="T472" s="434"/>
    </row>
    <row r="473" spans="4:20">
      <c r="D473" s="63"/>
      <c r="F473" s="9" t="s">
        <v>107</v>
      </c>
      <c r="K473">
        <v>5</v>
      </c>
      <c r="L473" s="9" t="s">
        <v>241</v>
      </c>
      <c r="M473" s="67">
        <v>5200</v>
      </c>
      <c r="N473" s="432">
        <f t="shared" si="56"/>
        <v>26000</v>
      </c>
      <c r="O473" s="432"/>
      <c r="P473" s="433"/>
      <c r="Q473" s="433"/>
      <c r="R473" s="433"/>
      <c r="S473" s="433"/>
      <c r="T473" s="434"/>
    </row>
    <row r="474" spans="4:20">
      <c r="D474" s="63"/>
      <c r="F474" s="9" t="s">
        <v>131</v>
      </c>
      <c r="K474">
        <v>1000</v>
      </c>
      <c r="L474" s="9" t="s">
        <v>5</v>
      </c>
      <c r="M474" s="67">
        <v>10</v>
      </c>
      <c r="N474" s="432">
        <f t="shared" si="56"/>
        <v>10000</v>
      </c>
      <c r="O474" s="432"/>
      <c r="P474" s="433"/>
      <c r="Q474" s="433"/>
      <c r="R474" s="433"/>
      <c r="S474" s="433"/>
      <c r="T474" s="434"/>
    </row>
    <row r="475" spans="4:20">
      <c r="D475" s="63"/>
      <c r="F475" s="9" t="s">
        <v>863</v>
      </c>
      <c r="K475">
        <v>2</v>
      </c>
      <c r="L475" s="9" t="s">
        <v>162</v>
      </c>
      <c r="M475" s="67">
        <v>2800</v>
      </c>
      <c r="N475" s="432">
        <f t="shared" si="56"/>
        <v>5600</v>
      </c>
      <c r="O475" s="432"/>
      <c r="P475" s="433"/>
      <c r="Q475" s="433"/>
      <c r="R475" s="433"/>
      <c r="S475" s="433"/>
      <c r="T475" s="434"/>
    </row>
    <row r="476" spans="4:20">
      <c r="D476" s="63"/>
      <c r="F476" s="9" t="s">
        <v>864</v>
      </c>
      <c r="K476">
        <f>K472</f>
        <v>2100</v>
      </c>
      <c r="L476" s="9" t="s">
        <v>5</v>
      </c>
      <c r="M476" s="67">
        <v>1.5</v>
      </c>
      <c r="N476" s="432">
        <f t="shared" si="55"/>
        <v>3150</v>
      </c>
      <c r="O476" s="432"/>
      <c r="P476" s="433"/>
      <c r="Q476" s="433"/>
      <c r="R476" s="433"/>
      <c r="S476" s="433"/>
      <c r="T476" s="434"/>
    </row>
    <row r="477" spans="4:20">
      <c r="D477" s="63"/>
      <c r="L477" s="9"/>
      <c r="M477" s="67"/>
      <c r="N477" s="432">
        <f t="shared" si="55"/>
        <v>0</v>
      </c>
      <c r="O477" s="432"/>
      <c r="P477" s="433"/>
      <c r="Q477" s="433"/>
      <c r="R477" s="433"/>
      <c r="S477" s="433"/>
      <c r="T477" s="434"/>
    </row>
    <row r="478" spans="4:20">
      <c r="D478" s="63"/>
      <c r="L478" s="9"/>
      <c r="M478" s="67"/>
      <c r="N478" s="432">
        <f t="shared" si="55"/>
        <v>0</v>
      </c>
      <c r="O478" s="432"/>
      <c r="P478" s="433"/>
      <c r="Q478" s="433"/>
      <c r="R478" s="433"/>
      <c r="S478" s="433"/>
      <c r="T478" s="434"/>
    </row>
    <row r="479" spans="4:20" ht="13" thickBot="1">
      <c r="D479" s="63"/>
      <c r="M479" s="67"/>
      <c r="N479" s="442">
        <f t="shared" si="55"/>
        <v>0</v>
      </c>
      <c r="O479" s="442"/>
      <c r="P479" s="442"/>
      <c r="Q479" s="442"/>
      <c r="R479" s="442"/>
      <c r="S479" s="442"/>
      <c r="T479" s="443"/>
    </row>
    <row r="480" spans="4:20" ht="13.5" thickBot="1">
      <c r="D480" s="68"/>
      <c r="E480" s="69" t="s">
        <v>607</v>
      </c>
      <c r="F480" s="69"/>
      <c r="G480" s="69"/>
      <c r="H480" s="69"/>
      <c r="I480" s="69"/>
      <c r="J480" s="69"/>
      <c r="K480" s="69"/>
      <c r="L480" s="69"/>
      <c r="M480" s="69"/>
      <c r="N480" s="435">
        <f>SUM(N468:O479)</f>
        <v>109450</v>
      </c>
      <c r="O480" s="435"/>
      <c r="P480" s="81"/>
      <c r="Q480" s="81"/>
      <c r="R480" s="81"/>
      <c r="S480" s="81"/>
      <c r="T480" s="70"/>
    </row>
    <row r="481" spans="3:23" ht="13" thickBot="1">
      <c r="D481" s="63"/>
      <c r="E481" s="9" t="s">
        <v>608</v>
      </c>
      <c r="N481" s="436"/>
      <c r="O481" s="436"/>
      <c r="P481" s="436"/>
      <c r="Q481" s="436"/>
      <c r="R481" s="436"/>
      <c r="S481" s="436"/>
      <c r="T481" s="437"/>
    </row>
    <row r="482" spans="3:23" ht="13.5" thickBot="1">
      <c r="D482" s="68"/>
      <c r="E482" s="69" t="s">
        <v>607</v>
      </c>
      <c r="F482" s="69"/>
      <c r="G482" s="69"/>
      <c r="H482" s="69"/>
      <c r="I482" s="69"/>
      <c r="J482" s="69"/>
      <c r="K482" s="69"/>
      <c r="L482" s="69"/>
      <c r="M482" s="69"/>
      <c r="N482" s="435">
        <f>SUM(N480:O481)</f>
        <v>109450</v>
      </c>
      <c r="O482" s="435"/>
      <c r="P482" s="81"/>
      <c r="Q482" s="81"/>
      <c r="R482" s="81"/>
      <c r="S482" s="81"/>
      <c r="T482" s="70"/>
    </row>
    <row r="483" spans="3:23">
      <c r="D483" s="63"/>
      <c r="E483" s="9" t="s">
        <v>123</v>
      </c>
      <c r="K483" s="71">
        <v>1.15E-2</v>
      </c>
      <c r="N483" s="432">
        <f>$W491*$K483</f>
        <v>1437.5</v>
      </c>
      <c r="O483" s="432"/>
      <c r="P483" s="439"/>
      <c r="Q483" s="439"/>
      <c r="R483" s="439"/>
      <c r="S483" s="439"/>
      <c r="T483" s="440"/>
    </row>
    <row r="484" spans="3:23">
      <c r="D484" s="63"/>
      <c r="E484" s="9" t="s">
        <v>124</v>
      </c>
      <c r="K484" s="78">
        <v>2E-3</v>
      </c>
      <c r="N484" s="432">
        <f>$W491*$K484</f>
        <v>250</v>
      </c>
      <c r="O484" s="432"/>
      <c r="P484" s="432"/>
      <c r="Q484" s="432"/>
      <c r="R484" s="432"/>
      <c r="S484" s="432"/>
      <c r="T484" s="441"/>
    </row>
    <row r="485" spans="3:23">
      <c r="D485" s="63"/>
      <c r="E485" s="9" t="s">
        <v>609</v>
      </c>
      <c r="K485" s="78">
        <v>3.8899999999999998E-3</v>
      </c>
      <c r="N485" s="432">
        <f>$W491*$K485</f>
        <v>486.25</v>
      </c>
      <c r="O485" s="432"/>
      <c r="P485" s="432"/>
      <c r="Q485" s="432"/>
      <c r="R485" s="432"/>
      <c r="S485" s="432"/>
      <c r="T485" s="441"/>
    </row>
    <row r="486" spans="3:23">
      <c r="D486" s="63"/>
      <c r="E486" s="9" t="s">
        <v>610</v>
      </c>
      <c r="K486" s="79">
        <v>1.2999999999999999E-2</v>
      </c>
      <c r="N486" s="432">
        <f>N480*$K486</f>
        <v>1422.85</v>
      </c>
      <c r="O486" s="432"/>
      <c r="P486" s="432"/>
      <c r="Q486" s="432"/>
      <c r="R486" s="432"/>
      <c r="S486" s="432"/>
      <c r="T486" s="441"/>
    </row>
    <row r="487" spans="3:23" ht="13" thickBot="1">
      <c r="D487" s="63"/>
      <c r="E487" s="9" t="s">
        <v>611</v>
      </c>
      <c r="K487" s="80">
        <v>0</v>
      </c>
      <c r="N487" s="432">
        <f>N481*$K487</f>
        <v>0</v>
      </c>
      <c r="O487" s="432"/>
      <c r="P487" s="432"/>
      <c r="Q487" s="432"/>
      <c r="R487" s="432"/>
      <c r="S487" s="432"/>
      <c r="T487" s="441"/>
    </row>
    <row r="488" spans="3:23" ht="13.5" thickBot="1">
      <c r="D488" s="68"/>
      <c r="E488" s="69" t="s">
        <v>607</v>
      </c>
      <c r="F488" s="69"/>
      <c r="G488" s="69"/>
      <c r="H488" s="69"/>
      <c r="I488" s="69"/>
      <c r="J488" s="69"/>
      <c r="K488" s="69"/>
      <c r="L488" s="69"/>
      <c r="M488" s="69"/>
      <c r="N488" s="435">
        <f>SUM(N482:O487)</f>
        <v>113046.6</v>
      </c>
      <c r="O488" s="435"/>
      <c r="P488" s="81"/>
      <c r="Q488" s="81"/>
      <c r="R488" s="81"/>
      <c r="S488" s="81"/>
      <c r="T488" s="70"/>
    </row>
    <row r="489" spans="3:23">
      <c r="D489" s="63"/>
      <c r="E489" s="9" t="s">
        <v>612</v>
      </c>
      <c r="K489" s="72">
        <v>0</v>
      </c>
      <c r="N489" s="439">
        <f>N488*$K489</f>
        <v>0</v>
      </c>
      <c r="O489" s="439"/>
      <c r="P489" s="439"/>
      <c r="Q489" s="439"/>
      <c r="R489" s="439"/>
      <c r="S489" s="439"/>
      <c r="T489" s="440"/>
    </row>
    <row r="490" spans="3:23" ht="13" thickBot="1">
      <c r="D490" s="63"/>
      <c r="E490" s="9" t="s">
        <v>613</v>
      </c>
      <c r="K490" s="72">
        <v>0.03</v>
      </c>
      <c r="N490" s="442">
        <f>N488*$K490</f>
        <v>3391.3980000000001</v>
      </c>
      <c r="O490" s="442"/>
      <c r="P490" s="442"/>
      <c r="Q490" s="442"/>
      <c r="R490" s="442"/>
      <c r="S490" s="442"/>
      <c r="T490" s="443"/>
    </row>
    <row r="491" spans="3:23" ht="13.5" thickBot="1">
      <c r="C491" s="1">
        <v>15</v>
      </c>
      <c r="D491" s="68"/>
      <c r="E491" s="69" t="s">
        <v>607</v>
      </c>
      <c r="F491" s="69"/>
      <c r="G491" s="69"/>
      <c r="H491" s="69"/>
      <c r="I491" s="69"/>
      <c r="J491" s="69"/>
      <c r="K491" s="69"/>
      <c r="L491" s="69"/>
      <c r="M491" s="69"/>
      <c r="N491" s="435">
        <f>SUM(N488:O490)</f>
        <v>116437.99800000001</v>
      </c>
      <c r="O491" s="435"/>
      <c r="P491" s="81"/>
      <c r="Q491" s="81"/>
      <c r="R491" s="81"/>
      <c r="S491" s="81"/>
      <c r="T491" s="70"/>
      <c r="V491" s="76" t="s">
        <v>614</v>
      </c>
      <c r="W491">
        <v>125000</v>
      </c>
    </row>
    <row r="492" spans="3:23" ht="13" thickBot="1">
      <c r="C492" s="1"/>
      <c r="D492" s="63"/>
      <c r="E492" s="9" t="s">
        <v>615</v>
      </c>
      <c r="K492" s="72">
        <v>3.7499999999999999E-2</v>
      </c>
      <c r="N492" s="436">
        <f>N491*$K492</f>
        <v>4366.4249250000003</v>
      </c>
      <c r="O492" s="436"/>
      <c r="P492" s="436"/>
      <c r="Q492" s="436"/>
      <c r="R492" s="436"/>
      <c r="S492" s="436"/>
      <c r="T492" s="437"/>
    </row>
    <row r="493" spans="3:23" ht="13.5" thickBot="1">
      <c r="C493" s="1"/>
      <c r="D493" s="68"/>
      <c r="E493" s="69" t="s">
        <v>607</v>
      </c>
      <c r="F493" s="69"/>
      <c r="G493" s="69"/>
      <c r="H493" s="69"/>
      <c r="I493" s="69"/>
      <c r="J493" s="69"/>
      <c r="K493" s="69"/>
      <c r="L493" s="69"/>
      <c r="M493" s="69"/>
      <c r="N493" s="435">
        <f>SUM(N491:O492)</f>
        <v>120804.42292500001</v>
      </c>
      <c r="O493" s="435"/>
      <c r="P493" s="81"/>
      <c r="Q493" s="81"/>
      <c r="R493" s="81"/>
      <c r="S493" s="81"/>
      <c r="T493" s="70"/>
    </row>
    <row r="494" spans="3:23" ht="13" thickBot="1">
      <c r="D494" s="63"/>
      <c r="E494" s="9" t="s">
        <v>616</v>
      </c>
      <c r="K494" s="72">
        <v>0</v>
      </c>
      <c r="N494" s="436">
        <f>N493*$K494</f>
        <v>0</v>
      </c>
      <c r="O494" s="436"/>
      <c r="P494" s="436"/>
      <c r="Q494" s="436"/>
      <c r="R494" s="436"/>
      <c r="S494" s="436"/>
      <c r="T494" s="437"/>
    </row>
    <row r="495" spans="3:23" ht="13.5" thickBot="1">
      <c r="D495" s="73"/>
      <c r="E495" s="74" t="s">
        <v>18</v>
      </c>
      <c r="F495" s="74"/>
      <c r="G495" s="74"/>
      <c r="H495" s="74"/>
      <c r="I495" s="74"/>
      <c r="J495" s="74"/>
      <c r="K495" s="74"/>
      <c r="L495" s="74"/>
      <c r="M495" s="74"/>
      <c r="N495" s="438">
        <f>SUM(N493:O494)</f>
        <v>120804.42292500001</v>
      </c>
      <c r="O495" s="438"/>
      <c r="P495" s="82"/>
      <c r="Q495" s="82"/>
      <c r="R495" s="82"/>
      <c r="S495" s="82"/>
      <c r="T495" s="75"/>
      <c r="U495" t="s">
        <v>855</v>
      </c>
      <c r="V495" s="398"/>
    </row>
    <row r="496" spans="3:23" ht="13" thickBot="1"/>
    <row r="497" spans="4:20" ht="13" thickBot="1"/>
    <row r="498" spans="4:20" ht="13" thickTop="1">
      <c r="D498" s="59" t="s">
        <v>572</v>
      </c>
      <c r="E498" s="60" t="s">
        <v>573</v>
      </c>
      <c r="F498" s="61"/>
      <c r="G498" s="61"/>
      <c r="H498" s="61"/>
      <c r="I498" s="61"/>
      <c r="J498" s="61"/>
      <c r="K498" s="61"/>
      <c r="L498" s="61"/>
      <c r="M498" s="61"/>
      <c r="N498" s="61"/>
      <c r="O498" s="61"/>
      <c r="P498" s="61"/>
      <c r="Q498" s="61"/>
      <c r="R498" s="61"/>
      <c r="S498" s="61"/>
      <c r="T498" s="62"/>
    </row>
    <row r="499" spans="4:20">
      <c r="D499" s="63" t="str">
        <f>D23</f>
        <v>P</v>
      </c>
      <c r="E499" t="str">
        <f>E23</f>
        <v>Face Brick to 10' Height w/Plaster above</v>
      </c>
      <c r="T499" s="64"/>
    </row>
    <row r="500" spans="4:20">
      <c r="D500" s="65"/>
      <c r="E500" s="66" t="s">
        <v>600</v>
      </c>
      <c r="F500" s="66" t="s">
        <v>601</v>
      </c>
      <c r="G500" s="45"/>
      <c r="H500" s="45"/>
      <c r="I500" s="45"/>
      <c r="J500" s="45"/>
      <c r="K500" s="374" t="s">
        <v>602</v>
      </c>
      <c r="L500" s="374" t="s">
        <v>603</v>
      </c>
      <c r="M500" s="374" t="s">
        <v>604</v>
      </c>
      <c r="N500" s="444" t="s">
        <v>605</v>
      </c>
      <c r="O500" s="444"/>
      <c r="P500" s="444" t="s">
        <v>606</v>
      </c>
      <c r="Q500" s="444"/>
      <c r="R500" s="444"/>
      <c r="S500" s="444"/>
      <c r="T500" s="445"/>
    </row>
    <row r="501" spans="4:20">
      <c r="D501" s="63"/>
      <c r="M501" s="67"/>
      <c r="N501" s="446">
        <f t="shared" ref="N501" si="57">K501*M501</f>
        <v>0</v>
      </c>
      <c r="O501" s="446"/>
      <c r="P501" s="446"/>
      <c r="Q501" s="446"/>
      <c r="R501" s="446"/>
      <c r="S501" s="446"/>
      <c r="T501" s="447"/>
    </row>
    <row r="502" spans="4:20">
      <c r="D502" s="63"/>
      <c r="F502" s="9" t="s">
        <v>638</v>
      </c>
      <c r="K502">
        <f>-K504</f>
        <v>-6064</v>
      </c>
      <c r="L502" s="9" t="s">
        <v>5</v>
      </c>
      <c r="M502" s="67">
        <v>25</v>
      </c>
      <c r="N502" s="432">
        <f>K502*M502</f>
        <v>-151600</v>
      </c>
      <c r="O502" s="432"/>
      <c r="P502" s="433"/>
      <c r="Q502" s="433"/>
      <c r="R502" s="433"/>
      <c r="S502" s="433"/>
      <c r="T502" s="434"/>
    </row>
    <row r="503" spans="4:20">
      <c r="D503" s="63"/>
      <c r="E503" s="9"/>
      <c r="F503" s="9" t="s">
        <v>859</v>
      </c>
      <c r="K503">
        <v>758</v>
      </c>
      <c r="L503" s="9" t="s">
        <v>7</v>
      </c>
      <c r="M503" s="67">
        <v>35</v>
      </c>
      <c r="N503" s="432">
        <f t="shared" ref="N503:N508" si="58">K503*M503</f>
        <v>26530</v>
      </c>
      <c r="O503" s="432"/>
      <c r="P503" s="433"/>
      <c r="Q503" s="433"/>
      <c r="R503" s="433"/>
      <c r="S503" s="433"/>
      <c r="T503" s="434"/>
    </row>
    <row r="504" spans="4:20">
      <c r="D504" s="63"/>
      <c r="F504" s="9" t="s">
        <v>758</v>
      </c>
      <c r="K504">
        <f>758*8</f>
        <v>6064</v>
      </c>
      <c r="L504" s="9" t="s">
        <v>5</v>
      </c>
      <c r="M504" s="67">
        <v>16</v>
      </c>
      <c r="N504" s="432">
        <f t="shared" si="58"/>
        <v>97024</v>
      </c>
      <c r="O504" s="432"/>
      <c r="P504" s="433"/>
      <c r="Q504" s="433"/>
      <c r="R504" s="433"/>
      <c r="S504" s="433"/>
      <c r="T504" s="434"/>
    </row>
    <row r="505" spans="4:20">
      <c r="D505" s="63"/>
      <c r="F505" s="9"/>
      <c r="L505" s="9"/>
      <c r="M505" s="67"/>
      <c r="N505" s="432">
        <f t="shared" si="58"/>
        <v>0</v>
      </c>
      <c r="O505" s="432"/>
      <c r="P505" s="433"/>
      <c r="Q505" s="433"/>
      <c r="R505" s="433"/>
      <c r="S505" s="433"/>
      <c r="T505" s="434"/>
    </row>
    <row r="506" spans="4:20">
      <c r="D506" s="63"/>
      <c r="L506" s="9"/>
      <c r="M506" s="67"/>
      <c r="N506" s="432">
        <f t="shared" si="58"/>
        <v>0</v>
      </c>
      <c r="O506" s="432"/>
      <c r="P506" s="433"/>
      <c r="Q506" s="433"/>
      <c r="R506" s="433"/>
      <c r="S506" s="433"/>
      <c r="T506" s="434"/>
    </row>
    <row r="507" spans="4:20">
      <c r="D507" s="63"/>
      <c r="M507" s="67"/>
      <c r="N507" s="432">
        <f t="shared" si="58"/>
        <v>0</v>
      </c>
      <c r="O507" s="432"/>
      <c r="P507" s="433"/>
      <c r="Q507" s="433"/>
      <c r="R507" s="433"/>
      <c r="S507" s="433"/>
      <c r="T507" s="434"/>
    </row>
    <row r="508" spans="4:20" ht="13" thickBot="1">
      <c r="D508" s="63"/>
      <c r="M508" s="67"/>
      <c r="N508" s="442">
        <f t="shared" si="58"/>
        <v>0</v>
      </c>
      <c r="O508" s="442"/>
      <c r="P508" s="442"/>
      <c r="Q508" s="442"/>
      <c r="R508" s="442"/>
      <c r="S508" s="442"/>
      <c r="T508" s="443"/>
    </row>
    <row r="509" spans="4:20" ht="13.5" thickBot="1">
      <c r="D509" s="68"/>
      <c r="E509" s="69" t="s">
        <v>607</v>
      </c>
      <c r="F509" s="69"/>
      <c r="G509" s="69"/>
      <c r="H509" s="69"/>
      <c r="I509" s="69"/>
      <c r="J509" s="69"/>
      <c r="K509" s="69"/>
      <c r="L509" s="69"/>
      <c r="M509" s="69"/>
      <c r="N509" s="435">
        <f>SUM(N500:O508)</f>
        <v>-28046</v>
      </c>
      <c r="O509" s="435"/>
      <c r="P509" s="81"/>
      <c r="Q509" s="81"/>
      <c r="R509" s="81"/>
      <c r="S509" s="81"/>
      <c r="T509" s="70"/>
    </row>
    <row r="510" spans="4:20" ht="13" thickBot="1">
      <c r="D510" s="63"/>
      <c r="E510" s="9" t="s">
        <v>608</v>
      </c>
      <c r="N510" s="436"/>
      <c r="O510" s="436"/>
      <c r="P510" s="436"/>
      <c r="Q510" s="436"/>
      <c r="R510" s="436"/>
      <c r="S510" s="436"/>
      <c r="T510" s="437"/>
    </row>
    <row r="511" spans="4:20" ht="13.5" thickBot="1">
      <c r="D511" s="68"/>
      <c r="E511" s="69" t="s">
        <v>607</v>
      </c>
      <c r="F511" s="69"/>
      <c r="G511" s="69"/>
      <c r="H511" s="69"/>
      <c r="I511" s="69"/>
      <c r="J511" s="69"/>
      <c r="K511" s="69"/>
      <c r="L511" s="69"/>
      <c r="M511" s="69"/>
      <c r="N511" s="435">
        <f>SUM(N509:O510)</f>
        <v>-28046</v>
      </c>
      <c r="O511" s="435"/>
      <c r="P511" s="81"/>
      <c r="Q511" s="81"/>
      <c r="R511" s="81"/>
      <c r="S511" s="81"/>
      <c r="T511" s="70"/>
    </row>
    <row r="512" spans="4:20">
      <c r="D512" s="63"/>
      <c r="E512" s="9" t="s">
        <v>123</v>
      </c>
      <c r="K512" s="71">
        <v>1.15E-2</v>
      </c>
      <c r="N512" s="432">
        <f>$W520*$K512</f>
        <v>0</v>
      </c>
      <c r="O512" s="432"/>
      <c r="P512" s="439"/>
      <c r="Q512" s="439"/>
      <c r="R512" s="439"/>
      <c r="S512" s="439"/>
      <c r="T512" s="440"/>
    </row>
    <row r="513" spans="3:22">
      <c r="D513" s="63"/>
      <c r="E513" s="9" t="s">
        <v>124</v>
      </c>
      <c r="K513" s="78">
        <v>2E-3</v>
      </c>
      <c r="N513" s="432">
        <f>$W520*$K513</f>
        <v>0</v>
      </c>
      <c r="O513" s="432"/>
      <c r="P513" s="432"/>
      <c r="Q513" s="432"/>
      <c r="R513" s="432"/>
      <c r="S513" s="432"/>
      <c r="T513" s="441"/>
    </row>
    <row r="514" spans="3:22">
      <c r="D514" s="63"/>
      <c r="E514" s="9" t="s">
        <v>609</v>
      </c>
      <c r="K514" s="78">
        <v>3.8899999999999998E-3</v>
      </c>
      <c r="N514" s="432">
        <f>$W520*$K514</f>
        <v>0</v>
      </c>
      <c r="O514" s="432"/>
      <c r="P514" s="432"/>
      <c r="Q514" s="432"/>
      <c r="R514" s="432"/>
      <c r="S514" s="432"/>
      <c r="T514" s="441"/>
    </row>
    <row r="515" spans="3:22">
      <c r="D515" s="63"/>
      <c r="E515" s="9" t="s">
        <v>610</v>
      </c>
      <c r="K515" s="79">
        <v>1.2999999999999999E-2</v>
      </c>
      <c r="N515" s="432">
        <f>N509*$K515</f>
        <v>-364.59799999999996</v>
      </c>
      <c r="O515" s="432"/>
      <c r="P515" s="432"/>
      <c r="Q515" s="432"/>
      <c r="R515" s="432"/>
      <c r="S515" s="432"/>
      <c r="T515" s="441"/>
    </row>
    <row r="516" spans="3:22" ht="13" thickBot="1">
      <c r="D516" s="63"/>
      <c r="E516" s="9" t="s">
        <v>611</v>
      </c>
      <c r="K516" s="80">
        <v>0</v>
      </c>
      <c r="N516" s="432">
        <f>N510*$K516</f>
        <v>0</v>
      </c>
      <c r="O516" s="432"/>
      <c r="P516" s="432"/>
      <c r="Q516" s="432"/>
      <c r="R516" s="432"/>
      <c r="S516" s="432"/>
      <c r="T516" s="441"/>
    </row>
    <row r="517" spans="3:22" ht="13.5" thickBot="1">
      <c r="D517" s="68"/>
      <c r="E517" s="69" t="s">
        <v>607</v>
      </c>
      <c r="F517" s="69"/>
      <c r="G517" s="69"/>
      <c r="H517" s="69"/>
      <c r="I517" s="69"/>
      <c r="J517" s="69"/>
      <c r="K517" s="69"/>
      <c r="L517" s="69"/>
      <c r="M517" s="69"/>
      <c r="N517" s="435">
        <f>SUM(N511:O516)</f>
        <v>-28410.597999999998</v>
      </c>
      <c r="O517" s="435"/>
      <c r="P517" s="81"/>
      <c r="Q517" s="81"/>
      <c r="R517" s="81"/>
      <c r="S517" s="81"/>
      <c r="T517" s="70"/>
    </row>
    <row r="518" spans="3:22">
      <c r="D518" s="63"/>
      <c r="E518" s="9" t="s">
        <v>612</v>
      </c>
      <c r="K518" s="72">
        <v>0</v>
      </c>
      <c r="N518" s="439">
        <f>N517*$K518</f>
        <v>0</v>
      </c>
      <c r="O518" s="439"/>
      <c r="P518" s="439"/>
      <c r="Q518" s="439"/>
      <c r="R518" s="439"/>
      <c r="S518" s="439"/>
      <c r="T518" s="440"/>
    </row>
    <row r="519" spans="3:22" ht="13" thickBot="1">
      <c r="D519" s="63"/>
      <c r="E519" s="9" t="s">
        <v>613</v>
      </c>
      <c r="K519" s="72">
        <v>0.03</v>
      </c>
      <c r="N519" s="442">
        <f>N517*$K519</f>
        <v>-852.31793999999991</v>
      </c>
      <c r="O519" s="442"/>
      <c r="P519" s="442"/>
      <c r="Q519" s="442"/>
      <c r="R519" s="442"/>
      <c r="S519" s="442"/>
      <c r="T519" s="443"/>
    </row>
    <row r="520" spans="3:22" ht="13.5" thickBot="1">
      <c r="C520" s="1">
        <v>16</v>
      </c>
      <c r="D520" s="68"/>
      <c r="E520" s="69" t="s">
        <v>607</v>
      </c>
      <c r="F520" s="69"/>
      <c r="G520" s="69"/>
      <c r="H520" s="69"/>
      <c r="I520" s="69"/>
      <c r="J520" s="69"/>
      <c r="K520" s="69"/>
      <c r="L520" s="69"/>
      <c r="M520" s="69"/>
      <c r="N520" s="435">
        <f>SUM(N517:O519)</f>
        <v>-29262.915939999999</v>
      </c>
      <c r="O520" s="435"/>
      <c r="P520" s="81"/>
      <c r="Q520" s="81"/>
      <c r="R520" s="81"/>
      <c r="S520" s="81"/>
      <c r="T520" s="70"/>
      <c r="V520" s="76" t="s">
        <v>614</v>
      </c>
    </row>
    <row r="521" spans="3:22" ht="13" thickBot="1">
      <c r="D521" s="63"/>
      <c r="E521" s="9" t="s">
        <v>615</v>
      </c>
      <c r="K521" s="72">
        <v>3.7499999999999999E-2</v>
      </c>
      <c r="N521" s="436">
        <f>N520*$K521</f>
        <v>-1097.3593477499999</v>
      </c>
      <c r="O521" s="436"/>
      <c r="P521" s="436"/>
      <c r="Q521" s="436"/>
      <c r="R521" s="436"/>
      <c r="S521" s="436"/>
      <c r="T521" s="437"/>
    </row>
    <row r="522" spans="3:22" ht="13.5" thickBot="1">
      <c r="D522" s="68"/>
      <c r="E522" s="69" t="s">
        <v>607</v>
      </c>
      <c r="F522" s="69"/>
      <c r="G522" s="69"/>
      <c r="H522" s="69"/>
      <c r="I522" s="69"/>
      <c r="J522" s="69"/>
      <c r="K522" s="69"/>
      <c r="L522" s="69"/>
      <c r="M522" s="69"/>
      <c r="N522" s="435">
        <f>SUM(N520:O521)</f>
        <v>-30360.275287749999</v>
      </c>
      <c r="O522" s="435"/>
      <c r="P522" s="81"/>
      <c r="Q522" s="81"/>
      <c r="R522" s="81"/>
      <c r="S522" s="81"/>
      <c r="T522" s="70"/>
    </row>
    <row r="523" spans="3:22" ht="13" thickBot="1">
      <c r="D523" s="63"/>
      <c r="E523" s="9" t="s">
        <v>616</v>
      </c>
      <c r="K523" s="72">
        <v>0</v>
      </c>
      <c r="N523" s="436">
        <f>N522*$K523</f>
        <v>0</v>
      </c>
      <c r="O523" s="436"/>
      <c r="P523" s="436"/>
      <c r="Q523" s="436"/>
      <c r="R523" s="436"/>
      <c r="S523" s="436"/>
      <c r="T523" s="437"/>
    </row>
    <row r="524" spans="3:22" ht="13.5" thickBot="1">
      <c r="D524" s="73"/>
      <c r="E524" s="74" t="s">
        <v>18</v>
      </c>
      <c r="F524" s="74"/>
      <c r="G524" s="74"/>
      <c r="H524" s="74"/>
      <c r="I524" s="74"/>
      <c r="J524" s="74"/>
      <c r="K524" s="74"/>
      <c r="L524" s="74"/>
      <c r="M524" s="74"/>
      <c r="N524" s="438">
        <f>SUM(N522:O523)</f>
        <v>-30360.275287749999</v>
      </c>
      <c r="O524" s="438"/>
      <c r="P524" s="82"/>
      <c r="Q524" s="82"/>
      <c r="R524" s="82"/>
      <c r="S524" s="82"/>
      <c r="T524" s="75"/>
    </row>
    <row r="525" spans="3:22" ht="13" thickTop="1"/>
    <row r="526" spans="3:22" ht="13" thickBot="1"/>
    <row r="527" spans="3:22" ht="13" thickTop="1">
      <c r="D527" s="59" t="s">
        <v>572</v>
      </c>
      <c r="E527" s="60" t="s">
        <v>573</v>
      </c>
      <c r="F527" s="61"/>
      <c r="G527" s="61"/>
      <c r="H527" s="61"/>
      <c r="I527" s="61"/>
      <c r="J527" s="61"/>
      <c r="K527" s="61"/>
      <c r="L527" s="61"/>
      <c r="M527" s="61"/>
      <c r="N527" s="61"/>
      <c r="O527" s="61"/>
      <c r="P527" s="61"/>
      <c r="Q527" s="61"/>
      <c r="R527" s="61"/>
      <c r="S527" s="61"/>
      <c r="T527" s="62"/>
    </row>
    <row r="528" spans="3:22">
      <c r="D528" s="63" t="str">
        <f>D24</f>
        <v>Q</v>
      </c>
      <c r="E528" t="str">
        <f>E24</f>
        <v>Delete Outdoor Trellis</v>
      </c>
      <c r="T528" s="64"/>
    </row>
    <row r="529" spans="4:20">
      <c r="D529" s="65"/>
      <c r="E529" s="66" t="s">
        <v>600</v>
      </c>
      <c r="F529" s="66" t="s">
        <v>601</v>
      </c>
      <c r="G529" s="45"/>
      <c r="H529" s="45"/>
      <c r="I529" s="45"/>
      <c r="J529" s="45"/>
      <c r="K529" s="374" t="s">
        <v>602</v>
      </c>
      <c r="L529" s="374" t="s">
        <v>603</v>
      </c>
      <c r="M529" s="374" t="s">
        <v>604</v>
      </c>
      <c r="N529" s="444" t="s">
        <v>605</v>
      </c>
      <c r="O529" s="444"/>
      <c r="P529" s="444" t="s">
        <v>606</v>
      </c>
      <c r="Q529" s="444"/>
      <c r="R529" s="444"/>
      <c r="S529" s="444"/>
      <c r="T529" s="445"/>
    </row>
    <row r="530" spans="4:20">
      <c r="D530" s="63"/>
      <c r="M530" s="67"/>
      <c r="N530" s="446">
        <f t="shared" ref="N530" si="59">K530*M530</f>
        <v>0</v>
      </c>
      <c r="O530" s="446"/>
      <c r="P530" s="446"/>
      <c r="Q530" s="446"/>
      <c r="R530" s="446"/>
      <c r="S530" s="446"/>
      <c r="T530" s="447"/>
    </row>
    <row r="531" spans="4:20">
      <c r="D531" s="63"/>
      <c r="L531" s="9"/>
      <c r="M531" s="67"/>
      <c r="N531" s="432">
        <f>K531*M531</f>
        <v>0</v>
      </c>
      <c r="O531" s="432"/>
      <c r="P531" s="433"/>
      <c r="Q531" s="433"/>
      <c r="R531" s="433"/>
      <c r="S531" s="433"/>
      <c r="T531" s="434"/>
    </row>
    <row r="532" spans="4:20">
      <c r="D532" s="63"/>
      <c r="E532" s="9"/>
      <c r="K532">
        <v>-1070</v>
      </c>
      <c r="L532" s="9" t="s">
        <v>5</v>
      </c>
      <c r="M532" s="67">
        <v>45</v>
      </c>
      <c r="N532" s="432">
        <f t="shared" ref="N532:N537" si="60">K532*M532</f>
        <v>-48150</v>
      </c>
      <c r="O532" s="432"/>
      <c r="P532" s="433"/>
      <c r="Q532" s="433"/>
      <c r="R532" s="433"/>
      <c r="S532" s="433"/>
      <c r="T532" s="434"/>
    </row>
    <row r="533" spans="4:20">
      <c r="D533" s="63"/>
      <c r="L533" s="9"/>
      <c r="M533" s="67"/>
      <c r="N533" s="432">
        <f t="shared" si="60"/>
        <v>0</v>
      </c>
      <c r="O533" s="432"/>
      <c r="P533" s="433"/>
      <c r="Q533" s="433"/>
      <c r="R533" s="433"/>
      <c r="S533" s="433"/>
      <c r="T533" s="434"/>
    </row>
    <row r="534" spans="4:20">
      <c r="D534" s="63"/>
      <c r="L534" s="9"/>
      <c r="M534" s="67"/>
      <c r="N534" s="432">
        <f t="shared" si="60"/>
        <v>0</v>
      </c>
      <c r="O534" s="432"/>
      <c r="P534" s="433"/>
      <c r="Q534" s="433"/>
      <c r="R534" s="433"/>
      <c r="S534" s="433"/>
      <c r="T534" s="434"/>
    </row>
    <row r="535" spans="4:20">
      <c r="D535" s="63"/>
      <c r="L535" s="9"/>
      <c r="M535" s="67"/>
      <c r="N535" s="432">
        <f t="shared" si="60"/>
        <v>0</v>
      </c>
      <c r="O535" s="432"/>
      <c r="P535" s="433"/>
      <c r="Q535" s="433"/>
      <c r="R535" s="433"/>
      <c r="S535" s="433"/>
      <c r="T535" s="434"/>
    </row>
    <row r="536" spans="4:20">
      <c r="D536" s="63"/>
      <c r="M536" s="67"/>
      <c r="N536" s="432">
        <f t="shared" si="60"/>
        <v>0</v>
      </c>
      <c r="O536" s="432"/>
      <c r="P536" s="433"/>
      <c r="Q536" s="433"/>
      <c r="R536" s="433"/>
      <c r="S536" s="433"/>
      <c r="T536" s="434"/>
    </row>
    <row r="537" spans="4:20" ht="13" thickBot="1">
      <c r="D537" s="63"/>
      <c r="M537" s="67"/>
      <c r="N537" s="442">
        <f t="shared" si="60"/>
        <v>0</v>
      </c>
      <c r="O537" s="442"/>
      <c r="P537" s="442"/>
      <c r="Q537" s="442"/>
      <c r="R537" s="442"/>
      <c r="S537" s="442"/>
      <c r="T537" s="443"/>
    </row>
    <row r="538" spans="4:20" ht="13.5" thickBot="1">
      <c r="D538" s="68"/>
      <c r="E538" s="69" t="s">
        <v>607</v>
      </c>
      <c r="F538" s="69"/>
      <c r="G538" s="69"/>
      <c r="H538" s="69"/>
      <c r="I538" s="69"/>
      <c r="J538" s="69"/>
      <c r="K538" s="69"/>
      <c r="L538" s="69"/>
      <c r="M538" s="69"/>
      <c r="N538" s="435">
        <f>SUM(N529:O537)</f>
        <v>-48150</v>
      </c>
      <c r="O538" s="435"/>
      <c r="P538" s="81"/>
      <c r="Q538" s="81"/>
      <c r="R538" s="81"/>
      <c r="S538" s="81"/>
      <c r="T538" s="70"/>
    </row>
    <row r="539" spans="4:20" ht="13" thickBot="1">
      <c r="D539" s="63"/>
      <c r="E539" s="9" t="s">
        <v>608</v>
      </c>
      <c r="N539" s="436"/>
      <c r="O539" s="436"/>
      <c r="P539" s="436"/>
      <c r="Q539" s="436"/>
      <c r="R539" s="436"/>
      <c r="S539" s="436"/>
      <c r="T539" s="437"/>
    </row>
    <row r="540" spans="4:20" ht="13.5" thickBot="1">
      <c r="D540" s="68"/>
      <c r="E540" s="69" t="s">
        <v>607</v>
      </c>
      <c r="F540" s="69"/>
      <c r="G540" s="69"/>
      <c r="H540" s="69"/>
      <c r="I540" s="69"/>
      <c r="J540" s="69"/>
      <c r="K540" s="69"/>
      <c r="L540" s="69"/>
      <c r="M540" s="69"/>
      <c r="N540" s="435">
        <f>SUM(N538:O539)</f>
        <v>-48150</v>
      </c>
      <c r="O540" s="435"/>
      <c r="P540" s="81"/>
      <c r="Q540" s="81"/>
      <c r="R540" s="81"/>
      <c r="S540" s="81"/>
      <c r="T540" s="70"/>
    </row>
    <row r="541" spans="4:20">
      <c r="D541" s="63"/>
      <c r="E541" s="9" t="s">
        <v>123</v>
      </c>
      <c r="K541" s="71">
        <v>1.15E-2</v>
      </c>
      <c r="N541" s="432">
        <f>$W549*$K541</f>
        <v>0</v>
      </c>
      <c r="O541" s="432"/>
      <c r="P541" s="439"/>
      <c r="Q541" s="439"/>
      <c r="R541" s="439"/>
      <c r="S541" s="439"/>
      <c r="T541" s="440"/>
    </row>
    <row r="542" spans="4:20">
      <c r="D542" s="63"/>
      <c r="E542" s="9" t="s">
        <v>124</v>
      </c>
      <c r="K542" s="78">
        <v>2E-3</v>
      </c>
      <c r="N542" s="432">
        <f>$W549*$K542</f>
        <v>0</v>
      </c>
      <c r="O542" s="432"/>
      <c r="P542" s="432"/>
      <c r="Q542" s="432"/>
      <c r="R542" s="432"/>
      <c r="S542" s="432"/>
      <c r="T542" s="441"/>
    </row>
    <row r="543" spans="4:20">
      <c r="D543" s="63"/>
      <c r="E543" s="9" t="s">
        <v>609</v>
      </c>
      <c r="K543" s="78">
        <v>3.8899999999999998E-3</v>
      </c>
      <c r="N543" s="432">
        <f>$W549*$K543</f>
        <v>0</v>
      </c>
      <c r="O543" s="432"/>
      <c r="P543" s="432"/>
      <c r="Q543" s="432"/>
      <c r="R543" s="432"/>
      <c r="S543" s="432"/>
      <c r="T543" s="441"/>
    </row>
    <row r="544" spans="4:20">
      <c r="D544" s="63"/>
      <c r="E544" s="9" t="s">
        <v>610</v>
      </c>
      <c r="K544" s="79">
        <v>1.2999999999999999E-2</v>
      </c>
      <c r="N544" s="432">
        <f>N538*$K544</f>
        <v>-625.94999999999993</v>
      </c>
      <c r="O544" s="432"/>
      <c r="P544" s="432"/>
      <c r="Q544" s="432"/>
      <c r="R544" s="432"/>
      <c r="S544" s="432"/>
      <c r="T544" s="441"/>
    </row>
    <row r="545" spans="3:22" ht="13" thickBot="1">
      <c r="D545" s="63"/>
      <c r="E545" s="9" t="s">
        <v>611</v>
      </c>
      <c r="K545" s="80">
        <v>0</v>
      </c>
      <c r="N545" s="432">
        <f>N539*$K545</f>
        <v>0</v>
      </c>
      <c r="O545" s="432"/>
      <c r="P545" s="432"/>
      <c r="Q545" s="432"/>
      <c r="R545" s="432"/>
      <c r="S545" s="432"/>
      <c r="T545" s="441"/>
    </row>
    <row r="546" spans="3:22" ht="13.5" thickBot="1">
      <c r="D546" s="68"/>
      <c r="E546" s="69" t="s">
        <v>607</v>
      </c>
      <c r="F546" s="69"/>
      <c r="G546" s="69"/>
      <c r="H546" s="69"/>
      <c r="I546" s="69"/>
      <c r="J546" s="69"/>
      <c r="K546" s="69"/>
      <c r="L546" s="69"/>
      <c r="M546" s="69"/>
      <c r="N546" s="435">
        <f>SUM(N540:O545)</f>
        <v>-48775.95</v>
      </c>
      <c r="O546" s="435"/>
      <c r="P546" s="81"/>
      <c r="Q546" s="81"/>
      <c r="R546" s="81"/>
      <c r="S546" s="81"/>
      <c r="T546" s="70"/>
    </row>
    <row r="547" spans="3:22">
      <c r="D547" s="63"/>
      <c r="E547" s="9" t="s">
        <v>612</v>
      </c>
      <c r="K547" s="72">
        <v>0</v>
      </c>
      <c r="N547" s="439">
        <f>N546*$K547</f>
        <v>0</v>
      </c>
      <c r="O547" s="439"/>
      <c r="P547" s="439"/>
      <c r="Q547" s="439"/>
      <c r="R547" s="439"/>
      <c r="S547" s="439"/>
      <c r="T547" s="440"/>
    </row>
    <row r="548" spans="3:22" ht="13" thickBot="1">
      <c r="D548" s="63"/>
      <c r="E548" s="9" t="s">
        <v>613</v>
      </c>
      <c r="K548" s="72">
        <v>0.03</v>
      </c>
      <c r="N548" s="442">
        <f>N546*$K548</f>
        <v>-1463.2784999999999</v>
      </c>
      <c r="O548" s="442"/>
      <c r="P548" s="442"/>
      <c r="Q548" s="442"/>
      <c r="R548" s="442"/>
      <c r="S548" s="442"/>
      <c r="T548" s="443"/>
    </row>
    <row r="549" spans="3:22" ht="13.5" thickBot="1">
      <c r="C549" s="1">
        <v>17</v>
      </c>
      <c r="D549" s="68"/>
      <c r="E549" s="69" t="s">
        <v>607</v>
      </c>
      <c r="F549" s="69"/>
      <c r="G549" s="69"/>
      <c r="H549" s="69"/>
      <c r="I549" s="69"/>
      <c r="J549" s="69"/>
      <c r="K549" s="69"/>
      <c r="L549" s="69"/>
      <c r="M549" s="69"/>
      <c r="N549" s="435">
        <f>SUM(N546:O548)</f>
        <v>-50239.228499999997</v>
      </c>
      <c r="O549" s="435"/>
      <c r="P549" s="81"/>
      <c r="Q549" s="81"/>
      <c r="R549" s="81"/>
      <c r="S549" s="81"/>
      <c r="T549" s="70"/>
      <c r="V549" s="76" t="s">
        <v>614</v>
      </c>
    </row>
    <row r="550" spans="3:22" ht="13" thickBot="1">
      <c r="C550" s="1"/>
      <c r="D550" s="63"/>
      <c r="E550" s="9" t="s">
        <v>615</v>
      </c>
      <c r="K550" s="72">
        <v>3.7499999999999999E-2</v>
      </c>
      <c r="N550" s="436">
        <f>N549*$K550</f>
        <v>-1883.9710687499999</v>
      </c>
      <c r="O550" s="436"/>
      <c r="P550" s="436"/>
      <c r="Q550" s="436"/>
      <c r="R550" s="436"/>
      <c r="S550" s="436"/>
      <c r="T550" s="437"/>
    </row>
    <row r="551" spans="3:22" ht="13.5" thickBot="1">
      <c r="C551" s="1"/>
      <c r="D551" s="68"/>
      <c r="E551" s="69" t="s">
        <v>607</v>
      </c>
      <c r="F551" s="69"/>
      <c r="G551" s="69"/>
      <c r="H551" s="69"/>
      <c r="I551" s="69"/>
      <c r="J551" s="69"/>
      <c r="K551" s="69"/>
      <c r="L551" s="69"/>
      <c r="M551" s="69"/>
      <c r="N551" s="435">
        <f>SUM(N549:O550)</f>
        <v>-52123.199568749995</v>
      </c>
      <c r="O551" s="435"/>
      <c r="P551" s="81"/>
      <c r="Q551" s="81"/>
      <c r="R551" s="81"/>
      <c r="S551" s="81"/>
      <c r="T551" s="70"/>
    </row>
    <row r="552" spans="3:22" ht="13" thickBot="1">
      <c r="D552" s="63"/>
      <c r="E552" s="9" t="s">
        <v>616</v>
      </c>
      <c r="K552" s="72">
        <v>0</v>
      </c>
      <c r="N552" s="436">
        <f>N551*$K552</f>
        <v>0</v>
      </c>
      <c r="O552" s="436"/>
      <c r="P552" s="436"/>
      <c r="Q552" s="436"/>
      <c r="R552" s="436"/>
      <c r="S552" s="436"/>
      <c r="T552" s="437"/>
    </row>
    <row r="553" spans="3:22" ht="13.5" thickBot="1">
      <c r="D553" s="73"/>
      <c r="E553" s="74" t="s">
        <v>18</v>
      </c>
      <c r="F553" s="74"/>
      <c r="G553" s="74"/>
      <c r="H553" s="74"/>
      <c r="I553" s="74"/>
      <c r="J553" s="74"/>
      <c r="K553" s="74"/>
      <c r="L553" s="74"/>
      <c r="M553" s="74"/>
      <c r="N553" s="438">
        <f>SUM(N551:O552)</f>
        <v>-52123.199568749995</v>
      </c>
      <c r="O553" s="438"/>
      <c r="P553" s="82"/>
      <c r="Q553" s="82"/>
      <c r="R553" s="82"/>
      <c r="S553" s="82"/>
      <c r="T553" s="75"/>
    </row>
    <row r="554" spans="3:22" ht="13" thickTop="1"/>
    <row r="555" spans="3:22" ht="13" thickBot="1"/>
    <row r="556" spans="3:22" ht="13" thickTop="1">
      <c r="D556" s="59" t="s">
        <v>572</v>
      </c>
      <c r="E556" s="60" t="s">
        <v>573</v>
      </c>
      <c r="F556" s="61"/>
      <c r="G556" s="61"/>
      <c r="H556" s="61"/>
      <c r="I556" s="61"/>
      <c r="J556" s="61"/>
      <c r="K556" s="61"/>
      <c r="L556" s="61"/>
      <c r="M556" s="61"/>
      <c r="N556" s="61"/>
      <c r="O556" s="61"/>
      <c r="P556" s="61"/>
      <c r="Q556" s="61"/>
      <c r="R556" s="61"/>
      <c r="S556" s="61"/>
      <c r="T556" s="62"/>
    </row>
    <row r="557" spans="3:22">
      <c r="D557" s="63" t="str">
        <f>D25</f>
        <v>R</v>
      </c>
      <c r="E557">
        <f>E25</f>
        <v>0</v>
      </c>
      <c r="T557" s="64"/>
    </row>
    <row r="558" spans="3:22">
      <c r="D558" s="65"/>
      <c r="E558" s="66" t="s">
        <v>600</v>
      </c>
      <c r="F558" s="66" t="s">
        <v>601</v>
      </c>
      <c r="G558" s="45"/>
      <c r="H558" s="45"/>
      <c r="I558" s="45"/>
      <c r="J558" s="45"/>
      <c r="K558" s="374" t="s">
        <v>602</v>
      </c>
      <c r="L558" s="374" t="s">
        <v>603</v>
      </c>
      <c r="M558" s="374" t="s">
        <v>604</v>
      </c>
      <c r="N558" s="444" t="s">
        <v>605</v>
      </c>
      <c r="O558" s="444"/>
      <c r="P558" s="444" t="s">
        <v>606</v>
      </c>
      <c r="Q558" s="444"/>
      <c r="R558" s="444"/>
      <c r="S558" s="444"/>
      <c r="T558" s="445"/>
    </row>
    <row r="559" spans="3:22">
      <c r="D559" s="63"/>
      <c r="F559" s="9" t="s">
        <v>659</v>
      </c>
      <c r="L559" s="9" t="s">
        <v>162</v>
      </c>
      <c r="M559" s="67">
        <v>650</v>
      </c>
      <c r="N559" s="446">
        <f t="shared" ref="N559" si="61">K559*M559</f>
        <v>0</v>
      </c>
      <c r="O559" s="446"/>
      <c r="P559" s="446"/>
      <c r="Q559" s="446"/>
      <c r="R559" s="446"/>
      <c r="S559" s="446"/>
      <c r="T559" s="447"/>
    </row>
    <row r="560" spans="3:22">
      <c r="D560" s="63"/>
      <c r="F560" s="9" t="s">
        <v>660</v>
      </c>
      <c r="L560" s="9" t="s">
        <v>162</v>
      </c>
      <c r="M560" s="67">
        <v>450</v>
      </c>
      <c r="N560" s="432">
        <f>K560*M560</f>
        <v>0</v>
      </c>
      <c r="O560" s="432"/>
      <c r="P560" s="433"/>
      <c r="Q560" s="433"/>
      <c r="R560" s="433"/>
      <c r="S560" s="433"/>
      <c r="T560" s="434"/>
    </row>
    <row r="561" spans="4:20">
      <c r="D561" s="63"/>
      <c r="E561" s="9"/>
      <c r="F561" s="9" t="s">
        <v>658</v>
      </c>
      <c r="L561" s="9" t="s">
        <v>5</v>
      </c>
      <c r="M561" s="67">
        <v>2</v>
      </c>
      <c r="N561" s="432">
        <f t="shared" ref="N561:N566" si="62">K561*M561</f>
        <v>0</v>
      </c>
      <c r="O561" s="432"/>
      <c r="P561" s="433"/>
      <c r="Q561" s="433"/>
      <c r="R561" s="433"/>
      <c r="S561" s="433"/>
      <c r="T561" s="434"/>
    </row>
    <row r="562" spans="4:20">
      <c r="D562" s="63"/>
      <c r="F562" s="9" t="s">
        <v>321</v>
      </c>
      <c r="L562" s="9" t="s">
        <v>5</v>
      </c>
      <c r="M562" s="67">
        <v>0.65</v>
      </c>
      <c r="N562" s="432">
        <f t="shared" si="62"/>
        <v>0</v>
      </c>
      <c r="O562" s="432"/>
      <c r="P562" s="433"/>
      <c r="Q562" s="433"/>
      <c r="R562" s="433"/>
      <c r="S562" s="433"/>
      <c r="T562" s="434"/>
    </row>
    <row r="563" spans="4:20">
      <c r="D563" s="63"/>
      <c r="F563" s="9" t="s">
        <v>324</v>
      </c>
      <c r="L563" s="9" t="s">
        <v>5</v>
      </c>
      <c r="M563" s="67">
        <v>4.5</v>
      </c>
      <c r="N563" s="432">
        <f t="shared" ref="N563" si="63">K563*M563</f>
        <v>0</v>
      </c>
      <c r="O563" s="432"/>
      <c r="P563" s="433"/>
      <c r="Q563" s="433"/>
      <c r="R563" s="433"/>
      <c r="S563" s="433"/>
      <c r="T563" s="434"/>
    </row>
    <row r="564" spans="4:20">
      <c r="D564" s="63"/>
      <c r="F564" s="9" t="s">
        <v>661</v>
      </c>
      <c r="L564" s="9" t="s">
        <v>5</v>
      </c>
      <c r="M564" s="67">
        <v>9</v>
      </c>
      <c r="N564" s="432">
        <f t="shared" si="62"/>
        <v>0</v>
      </c>
      <c r="O564" s="432"/>
      <c r="P564" s="433"/>
      <c r="Q564" s="433"/>
      <c r="R564" s="433"/>
      <c r="S564" s="433"/>
      <c r="T564" s="434"/>
    </row>
    <row r="565" spans="4:20">
      <c r="D565" s="63"/>
      <c r="F565" s="9" t="s">
        <v>325</v>
      </c>
      <c r="L565" s="9" t="s">
        <v>5</v>
      </c>
      <c r="M565" s="67">
        <v>1.25</v>
      </c>
      <c r="N565" s="432">
        <f t="shared" si="62"/>
        <v>0</v>
      </c>
      <c r="O565" s="432"/>
      <c r="P565" s="433"/>
      <c r="Q565" s="433"/>
      <c r="R565" s="433"/>
      <c r="S565" s="433"/>
      <c r="T565" s="434"/>
    </row>
    <row r="566" spans="4:20">
      <c r="D566" s="63"/>
      <c r="F566" s="9" t="s">
        <v>328</v>
      </c>
      <c r="L566" s="9" t="s">
        <v>7</v>
      </c>
      <c r="M566" s="67">
        <v>10</v>
      </c>
      <c r="N566" s="432">
        <f t="shared" si="62"/>
        <v>0</v>
      </c>
      <c r="O566" s="432"/>
      <c r="P566" s="433"/>
      <c r="Q566" s="433"/>
      <c r="R566" s="433"/>
      <c r="S566" s="433"/>
      <c r="T566" s="434"/>
    </row>
    <row r="567" spans="4:20">
      <c r="D567" s="63"/>
      <c r="F567" s="9" t="s">
        <v>664</v>
      </c>
      <c r="L567" s="9" t="s">
        <v>162</v>
      </c>
      <c r="M567" s="67">
        <v>1200</v>
      </c>
      <c r="N567" s="432">
        <f t="shared" ref="N567:N571" si="64">K567*M567</f>
        <v>0</v>
      </c>
      <c r="O567" s="432"/>
      <c r="P567" s="433"/>
      <c r="Q567" s="433"/>
      <c r="R567" s="433"/>
      <c r="S567" s="433"/>
      <c r="T567" s="434"/>
    </row>
    <row r="568" spans="4:20">
      <c r="D568" s="63"/>
      <c r="F568" s="9" t="s">
        <v>665</v>
      </c>
      <c r="L568" s="9" t="s">
        <v>162</v>
      </c>
      <c r="M568" s="67">
        <v>4500</v>
      </c>
      <c r="N568" s="432">
        <f t="shared" si="64"/>
        <v>0</v>
      </c>
      <c r="O568" s="432"/>
      <c r="P568" s="433"/>
      <c r="Q568" s="433"/>
      <c r="R568" s="433"/>
      <c r="S568" s="433"/>
      <c r="T568" s="434"/>
    </row>
    <row r="569" spans="4:20">
      <c r="D569" s="63"/>
      <c r="F569" s="9" t="s">
        <v>662</v>
      </c>
      <c r="L569" s="9" t="s">
        <v>7</v>
      </c>
      <c r="M569" s="67">
        <v>15</v>
      </c>
      <c r="N569" s="432">
        <f t="shared" si="64"/>
        <v>0</v>
      </c>
      <c r="O569" s="432"/>
      <c r="P569" s="433"/>
      <c r="Q569" s="433"/>
      <c r="R569" s="433"/>
      <c r="S569" s="433"/>
      <c r="T569" s="434"/>
    </row>
    <row r="570" spans="4:20">
      <c r="D570" s="63"/>
      <c r="F570" s="9" t="s">
        <v>331</v>
      </c>
      <c r="L570" s="9" t="s">
        <v>5</v>
      </c>
      <c r="M570" s="67">
        <v>8</v>
      </c>
      <c r="N570" s="432">
        <f t="shared" si="64"/>
        <v>0</v>
      </c>
      <c r="O570" s="432"/>
      <c r="P570" s="433"/>
      <c r="Q570" s="433"/>
      <c r="R570" s="433"/>
      <c r="S570" s="433"/>
      <c r="T570" s="434"/>
    </row>
    <row r="571" spans="4:20" ht="13" thickBot="1">
      <c r="D571" s="63"/>
      <c r="F571" s="9" t="s">
        <v>663</v>
      </c>
      <c r="L571" s="9" t="s">
        <v>5</v>
      </c>
      <c r="M571" s="67">
        <v>5</v>
      </c>
      <c r="N571" s="442">
        <f t="shared" si="64"/>
        <v>0</v>
      </c>
      <c r="O571" s="442"/>
      <c r="P571" s="442"/>
      <c r="Q571" s="442"/>
      <c r="R571" s="442"/>
      <c r="S571" s="442"/>
      <c r="T571" s="443"/>
    </row>
    <row r="572" spans="4:20" ht="13.5" thickBot="1">
      <c r="D572" s="68"/>
      <c r="E572" s="69" t="s">
        <v>607</v>
      </c>
      <c r="F572" s="69"/>
      <c r="G572" s="69"/>
      <c r="H572" s="69"/>
      <c r="I572" s="69"/>
      <c r="J572" s="69"/>
      <c r="K572" s="69"/>
      <c r="L572" s="69"/>
      <c r="M572" s="69"/>
      <c r="N572" s="435">
        <f>SUM(N558:O571)</f>
        <v>0</v>
      </c>
      <c r="O572" s="435"/>
      <c r="P572" s="81"/>
      <c r="Q572" s="81"/>
      <c r="R572" s="81"/>
      <c r="S572" s="81"/>
      <c r="T572" s="70"/>
    </row>
    <row r="573" spans="4:20" ht="13" thickBot="1">
      <c r="D573" s="63"/>
      <c r="E573" s="9" t="s">
        <v>608</v>
      </c>
      <c r="N573" s="436"/>
      <c r="O573" s="436"/>
      <c r="P573" s="436"/>
      <c r="Q573" s="436"/>
      <c r="R573" s="436"/>
      <c r="S573" s="436"/>
      <c r="T573" s="437"/>
    </row>
    <row r="574" spans="4:20" ht="13.5" thickBot="1">
      <c r="D574" s="68"/>
      <c r="E574" s="69" t="s">
        <v>607</v>
      </c>
      <c r="F574" s="69"/>
      <c r="G574" s="69"/>
      <c r="H574" s="69"/>
      <c r="I574" s="69"/>
      <c r="J574" s="69"/>
      <c r="K574" s="69"/>
      <c r="L574" s="69"/>
      <c r="M574" s="69"/>
      <c r="N574" s="435">
        <f>SUM(N572:O573)</f>
        <v>0</v>
      </c>
      <c r="O574" s="435"/>
      <c r="P574" s="81"/>
      <c r="Q574" s="81"/>
      <c r="R574" s="81"/>
      <c r="S574" s="81"/>
      <c r="T574" s="70"/>
    </row>
    <row r="575" spans="4:20">
      <c r="D575" s="63"/>
      <c r="E575" s="9" t="s">
        <v>123</v>
      </c>
      <c r="K575" s="71">
        <v>1.15E-2</v>
      </c>
      <c r="N575" s="432">
        <f>$W583*$K575</f>
        <v>0</v>
      </c>
      <c r="O575" s="432"/>
      <c r="P575" s="439"/>
      <c r="Q575" s="439"/>
      <c r="R575" s="439"/>
      <c r="S575" s="439"/>
      <c r="T575" s="440"/>
    </row>
    <row r="576" spans="4:20">
      <c r="D576" s="63"/>
      <c r="E576" s="9" t="s">
        <v>124</v>
      </c>
      <c r="K576" s="78">
        <v>2E-3</v>
      </c>
      <c r="N576" s="432">
        <f>$W583*$K576</f>
        <v>0</v>
      </c>
      <c r="O576" s="432"/>
      <c r="P576" s="432"/>
      <c r="Q576" s="432"/>
      <c r="R576" s="432"/>
      <c r="S576" s="432"/>
      <c r="T576" s="441"/>
    </row>
    <row r="577" spans="3:22">
      <c r="D577" s="63"/>
      <c r="E577" s="9" t="s">
        <v>609</v>
      </c>
      <c r="K577" s="78">
        <v>3.8899999999999998E-3</v>
      </c>
      <c r="N577" s="432">
        <f>$W583*$K577</f>
        <v>0</v>
      </c>
      <c r="O577" s="432"/>
      <c r="P577" s="432"/>
      <c r="Q577" s="432"/>
      <c r="R577" s="432"/>
      <c r="S577" s="432"/>
      <c r="T577" s="441"/>
    </row>
    <row r="578" spans="3:22">
      <c r="D578" s="63"/>
      <c r="E578" s="9" t="s">
        <v>610</v>
      </c>
      <c r="K578" s="79">
        <v>1.2999999999999999E-2</v>
      </c>
      <c r="N578" s="432">
        <f>N572*$K578</f>
        <v>0</v>
      </c>
      <c r="O578" s="432"/>
      <c r="P578" s="432"/>
      <c r="Q578" s="432"/>
      <c r="R578" s="432"/>
      <c r="S578" s="432"/>
      <c r="T578" s="441"/>
    </row>
    <row r="579" spans="3:22" ht="13" thickBot="1">
      <c r="D579" s="63"/>
      <c r="E579" s="9" t="s">
        <v>611</v>
      </c>
      <c r="K579" s="80">
        <v>0</v>
      </c>
      <c r="N579" s="432">
        <f>N573*$K579</f>
        <v>0</v>
      </c>
      <c r="O579" s="432"/>
      <c r="P579" s="432"/>
      <c r="Q579" s="432"/>
      <c r="R579" s="432"/>
      <c r="S579" s="432"/>
      <c r="T579" s="441"/>
    </row>
    <row r="580" spans="3:22" ht="13.5" thickBot="1">
      <c r="D580" s="68"/>
      <c r="E580" s="69" t="s">
        <v>607</v>
      </c>
      <c r="F580" s="69"/>
      <c r="G580" s="69"/>
      <c r="H580" s="69"/>
      <c r="I580" s="69"/>
      <c r="J580" s="69"/>
      <c r="K580" s="69"/>
      <c r="L580" s="69"/>
      <c r="M580" s="69"/>
      <c r="N580" s="435">
        <f>SUM(N574:O579)</f>
        <v>0</v>
      </c>
      <c r="O580" s="435"/>
      <c r="P580" s="81"/>
      <c r="Q580" s="81"/>
      <c r="R580" s="81"/>
      <c r="S580" s="81"/>
      <c r="T580" s="70"/>
    </row>
    <row r="581" spans="3:22">
      <c r="D581" s="63"/>
      <c r="E581" s="9" t="s">
        <v>612</v>
      </c>
      <c r="K581" s="72">
        <v>0</v>
      </c>
      <c r="N581" s="439">
        <f>N580*$K581</f>
        <v>0</v>
      </c>
      <c r="O581" s="439"/>
      <c r="P581" s="439"/>
      <c r="Q581" s="439"/>
      <c r="R581" s="439"/>
      <c r="S581" s="439"/>
      <c r="T581" s="440"/>
    </row>
    <row r="582" spans="3:22" ht="13" thickBot="1">
      <c r="D582" s="63"/>
      <c r="E582" s="9" t="s">
        <v>613</v>
      </c>
      <c r="K582" s="72">
        <v>0.03</v>
      </c>
      <c r="N582" s="442">
        <f>N580*$K582</f>
        <v>0</v>
      </c>
      <c r="O582" s="442"/>
      <c r="P582" s="442"/>
      <c r="Q582" s="442"/>
      <c r="R582" s="442"/>
      <c r="S582" s="442"/>
      <c r="T582" s="443"/>
    </row>
    <row r="583" spans="3:22" ht="13.5" thickBot="1">
      <c r="C583" s="1">
        <v>18</v>
      </c>
      <c r="D583" s="68"/>
      <c r="E583" s="69" t="s">
        <v>607</v>
      </c>
      <c r="F583" s="69"/>
      <c r="G583" s="69"/>
      <c r="H583" s="69"/>
      <c r="I583" s="69"/>
      <c r="J583" s="69"/>
      <c r="K583" s="69"/>
      <c r="L583" s="69"/>
      <c r="M583" s="69"/>
      <c r="N583" s="435">
        <f>SUM(N580:O582)</f>
        <v>0</v>
      </c>
      <c r="O583" s="435"/>
      <c r="P583" s="81"/>
      <c r="Q583" s="81"/>
      <c r="R583" s="81"/>
      <c r="S583" s="81"/>
      <c r="T583" s="70"/>
      <c r="V583" s="76" t="s">
        <v>614</v>
      </c>
    </row>
    <row r="584" spans="3:22" ht="13" thickBot="1">
      <c r="D584" s="63"/>
      <c r="E584" s="9" t="s">
        <v>615</v>
      </c>
      <c r="K584" s="72">
        <v>3.7499999999999999E-2</v>
      </c>
      <c r="N584" s="436">
        <f>N583*$K584</f>
        <v>0</v>
      </c>
      <c r="O584" s="436"/>
      <c r="P584" s="436"/>
      <c r="Q584" s="436"/>
      <c r="R584" s="436"/>
      <c r="S584" s="436"/>
      <c r="T584" s="437"/>
    </row>
    <row r="585" spans="3:22" ht="13.5" thickBot="1">
      <c r="D585" s="68"/>
      <c r="E585" s="69" t="s">
        <v>607</v>
      </c>
      <c r="F585" s="69"/>
      <c r="G585" s="69"/>
      <c r="H585" s="69"/>
      <c r="I585" s="69"/>
      <c r="J585" s="69"/>
      <c r="K585" s="69"/>
      <c r="L585" s="69"/>
      <c r="M585" s="69"/>
      <c r="N585" s="435">
        <f>SUM(N583:O584)</f>
        <v>0</v>
      </c>
      <c r="O585" s="435"/>
      <c r="P585" s="81"/>
      <c r="Q585" s="81"/>
      <c r="R585" s="81"/>
      <c r="S585" s="81"/>
      <c r="T585" s="70"/>
    </row>
    <row r="586" spans="3:22" ht="13" thickBot="1">
      <c r="D586" s="63"/>
      <c r="E586" s="9" t="s">
        <v>616</v>
      </c>
      <c r="K586" s="72">
        <v>0</v>
      </c>
      <c r="N586" s="436">
        <f>N585*$K586</f>
        <v>0</v>
      </c>
      <c r="O586" s="436"/>
      <c r="P586" s="436"/>
      <c r="Q586" s="436"/>
      <c r="R586" s="436"/>
      <c r="S586" s="436"/>
      <c r="T586" s="437"/>
    </row>
    <row r="587" spans="3:22" ht="13.5" thickBot="1">
      <c r="D587" s="73"/>
      <c r="E587" s="74" t="s">
        <v>18</v>
      </c>
      <c r="F587" s="74"/>
      <c r="G587" s="74"/>
      <c r="H587" s="74"/>
      <c r="I587" s="74"/>
      <c r="J587" s="74"/>
      <c r="K587" s="74"/>
      <c r="L587" s="74"/>
      <c r="M587" s="74"/>
      <c r="N587" s="438">
        <f>SUM(N585:O586)</f>
        <v>0</v>
      </c>
      <c r="O587" s="438"/>
      <c r="P587" s="82"/>
      <c r="Q587" s="82"/>
      <c r="R587" s="82"/>
      <c r="S587" s="82"/>
      <c r="T587" s="75"/>
    </row>
    <row r="588" spans="3:22" ht="13" thickTop="1"/>
    <row r="589" spans="3:22" ht="13" thickBot="1"/>
    <row r="590" spans="3:22" ht="13" thickTop="1">
      <c r="D590" s="59" t="s">
        <v>572</v>
      </c>
      <c r="E590" s="60" t="s">
        <v>573</v>
      </c>
      <c r="F590" s="61"/>
      <c r="G590" s="61"/>
      <c r="H590" s="61"/>
      <c r="I590" s="61"/>
      <c r="J590" s="61"/>
      <c r="K590" s="61"/>
      <c r="L590" s="61"/>
      <c r="M590" s="61"/>
      <c r="N590" s="61"/>
      <c r="O590" s="61"/>
      <c r="P590" s="61"/>
      <c r="Q590" s="61"/>
      <c r="R590" s="61"/>
      <c r="S590" s="61"/>
      <c r="T590" s="62"/>
    </row>
    <row r="591" spans="3:22">
      <c r="D591" s="63" t="str">
        <f>D26</f>
        <v>S</v>
      </c>
      <c r="E591">
        <f>E26</f>
        <v>0</v>
      </c>
      <c r="T591" s="64"/>
    </row>
    <row r="592" spans="3:22">
      <c r="D592" s="65"/>
      <c r="E592" s="66" t="s">
        <v>600</v>
      </c>
      <c r="F592" s="66" t="s">
        <v>601</v>
      </c>
      <c r="G592" s="45"/>
      <c r="H592" s="45"/>
      <c r="I592" s="45"/>
      <c r="J592" s="45"/>
      <c r="K592" s="374" t="s">
        <v>602</v>
      </c>
      <c r="L592" s="374" t="s">
        <v>603</v>
      </c>
      <c r="M592" s="374" t="s">
        <v>604</v>
      </c>
      <c r="N592" s="444" t="s">
        <v>605</v>
      </c>
      <c r="O592" s="444"/>
      <c r="P592" s="444" t="s">
        <v>606</v>
      </c>
      <c r="Q592" s="444"/>
      <c r="R592" s="444"/>
      <c r="S592" s="444"/>
      <c r="T592" s="445"/>
    </row>
    <row r="593" spans="4:20">
      <c r="D593" s="63"/>
      <c r="M593" s="67"/>
      <c r="N593" s="446">
        <f t="shared" ref="N593" si="65">K593*M593</f>
        <v>0</v>
      </c>
      <c r="O593" s="446"/>
      <c r="P593" s="446"/>
      <c r="Q593" s="446"/>
      <c r="R593" s="446"/>
      <c r="S593" s="446"/>
      <c r="T593" s="447"/>
    </row>
    <row r="594" spans="4:20">
      <c r="D594" s="63"/>
      <c r="F594" s="9" t="s">
        <v>666</v>
      </c>
      <c r="L594" s="9" t="s">
        <v>5</v>
      </c>
      <c r="M594" s="67">
        <v>36</v>
      </c>
      <c r="N594" s="432">
        <f>K594*M594</f>
        <v>0</v>
      </c>
      <c r="O594" s="432"/>
      <c r="P594" s="433"/>
      <c r="Q594" s="433"/>
      <c r="R594" s="433"/>
      <c r="S594" s="433"/>
      <c r="T594" s="434"/>
    </row>
    <row r="595" spans="4:20">
      <c r="D595" s="63"/>
      <c r="E595" s="9"/>
      <c r="L595" s="9"/>
      <c r="M595" s="67"/>
      <c r="N595" s="432">
        <f t="shared" ref="N595:N600" si="66">K595*M595</f>
        <v>0</v>
      </c>
      <c r="O595" s="432"/>
      <c r="P595" s="433"/>
      <c r="Q595" s="433"/>
      <c r="R595" s="433"/>
      <c r="S595" s="433"/>
      <c r="T595" s="434"/>
    </row>
    <row r="596" spans="4:20">
      <c r="D596" s="63"/>
      <c r="L596" s="9"/>
      <c r="M596" s="67"/>
      <c r="N596" s="432">
        <f t="shared" si="66"/>
        <v>0</v>
      </c>
      <c r="O596" s="432"/>
      <c r="P596" s="433"/>
      <c r="Q596" s="433"/>
      <c r="R596" s="433"/>
      <c r="S596" s="433"/>
      <c r="T596" s="434"/>
    </row>
    <row r="597" spans="4:20">
      <c r="D597" s="63"/>
      <c r="L597" s="9"/>
      <c r="M597" s="67"/>
      <c r="N597" s="432">
        <f t="shared" si="66"/>
        <v>0</v>
      </c>
      <c r="O597" s="432"/>
      <c r="P597" s="433"/>
      <c r="Q597" s="433"/>
      <c r="R597" s="433"/>
      <c r="S597" s="433"/>
      <c r="T597" s="434"/>
    </row>
    <row r="598" spans="4:20">
      <c r="D598" s="63"/>
      <c r="L598" s="9"/>
      <c r="M598" s="67"/>
      <c r="N598" s="432">
        <f t="shared" si="66"/>
        <v>0</v>
      </c>
      <c r="O598" s="432"/>
      <c r="P598" s="433"/>
      <c r="Q598" s="433"/>
      <c r="R598" s="433"/>
      <c r="S598" s="433"/>
      <c r="T598" s="434"/>
    </row>
    <row r="599" spans="4:20">
      <c r="D599" s="63"/>
      <c r="M599" s="67"/>
      <c r="N599" s="432">
        <f t="shared" si="66"/>
        <v>0</v>
      </c>
      <c r="O599" s="432"/>
      <c r="P599" s="433"/>
      <c r="Q599" s="433"/>
      <c r="R599" s="433"/>
      <c r="S599" s="433"/>
      <c r="T599" s="434"/>
    </row>
    <row r="600" spans="4:20" ht="13" thickBot="1">
      <c r="D600" s="63"/>
      <c r="M600" s="67"/>
      <c r="N600" s="442">
        <f t="shared" si="66"/>
        <v>0</v>
      </c>
      <c r="O600" s="442"/>
      <c r="P600" s="442"/>
      <c r="Q600" s="442"/>
      <c r="R600" s="442"/>
      <c r="S600" s="442"/>
      <c r="T600" s="443"/>
    </row>
    <row r="601" spans="4:20" ht="13.5" thickBot="1">
      <c r="D601" s="68"/>
      <c r="E601" s="69" t="s">
        <v>607</v>
      </c>
      <c r="F601" s="69"/>
      <c r="G601" s="69"/>
      <c r="H601" s="69"/>
      <c r="I601" s="69"/>
      <c r="J601" s="69"/>
      <c r="K601" s="69"/>
      <c r="L601" s="69"/>
      <c r="M601" s="69"/>
      <c r="N601" s="435">
        <f>SUM(N592:O600)</f>
        <v>0</v>
      </c>
      <c r="O601" s="435"/>
      <c r="P601" s="81"/>
      <c r="Q601" s="81"/>
      <c r="R601" s="81"/>
      <c r="S601" s="81"/>
      <c r="T601" s="70"/>
    </row>
    <row r="602" spans="4:20" ht="13" thickBot="1">
      <c r="D602" s="63"/>
      <c r="E602" s="9" t="s">
        <v>608</v>
      </c>
      <c r="N602" s="436"/>
      <c r="O602" s="436"/>
      <c r="P602" s="436"/>
      <c r="Q602" s="436"/>
      <c r="R602" s="436"/>
      <c r="S602" s="436"/>
      <c r="T602" s="437"/>
    </row>
    <row r="603" spans="4:20" ht="13.5" thickBot="1">
      <c r="D603" s="68"/>
      <c r="E603" s="69" t="s">
        <v>607</v>
      </c>
      <c r="F603" s="69"/>
      <c r="G603" s="69"/>
      <c r="H603" s="69"/>
      <c r="I603" s="69"/>
      <c r="J603" s="69"/>
      <c r="K603" s="69"/>
      <c r="L603" s="69"/>
      <c r="M603" s="69"/>
      <c r="N603" s="435">
        <f>SUM(N601:O602)</f>
        <v>0</v>
      </c>
      <c r="O603" s="435"/>
      <c r="P603" s="81"/>
      <c r="Q603" s="81"/>
      <c r="R603" s="81"/>
      <c r="S603" s="81"/>
      <c r="T603" s="70"/>
    </row>
    <row r="604" spans="4:20">
      <c r="D604" s="63"/>
      <c r="E604" s="9" t="s">
        <v>123</v>
      </c>
      <c r="K604" s="71">
        <v>1.15E-2</v>
      </c>
      <c r="N604" s="432">
        <f>$W612*$K604</f>
        <v>0</v>
      </c>
      <c r="O604" s="432"/>
      <c r="P604" s="439"/>
      <c r="Q604" s="439"/>
      <c r="R604" s="439"/>
      <c r="S604" s="439"/>
      <c r="T604" s="440"/>
    </row>
    <row r="605" spans="4:20">
      <c r="D605" s="63"/>
      <c r="E605" s="9" t="s">
        <v>124</v>
      </c>
      <c r="K605" s="78">
        <v>2E-3</v>
      </c>
      <c r="N605" s="432">
        <f>$W612*$K605</f>
        <v>0</v>
      </c>
      <c r="O605" s="432"/>
      <c r="P605" s="432"/>
      <c r="Q605" s="432"/>
      <c r="R605" s="432"/>
      <c r="S605" s="432"/>
      <c r="T605" s="441"/>
    </row>
    <row r="606" spans="4:20">
      <c r="D606" s="63"/>
      <c r="E606" s="9" t="s">
        <v>609</v>
      </c>
      <c r="K606" s="78">
        <v>3.8899999999999998E-3</v>
      </c>
      <c r="N606" s="432">
        <f>$W612*$K606</f>
        <v>0</v>
      </c>
      <c r="O606" s="432"/>
      <c r="P606" s="432"/>
      <c r="Q606" s="432"/>
      <c r="R606" s="432"/>
      <c r="S606" s="432"/>
      <c r="T606" s="441"/>
    </row>
    <row r="607" spans="4:20">
      <c r="D607" s="63"/>
      <c r="E607" s="9" t="s">
        <v>610</v>
      </c>
      <c r="K607" s="79">
        <v>1.2999999999999999E-2</v>
      </c>
      <c r="N607" s="432">
        <f>N601*$K607</f>
        <v>0</v>
      </c>
      <c r="O607" s="432"/>
      <c r="P607" s="432"/>
      <c r="Q607" s="432"/>
      <c r="R607" s="432"/>
      <c r="S607" s="432"/>
      <c r="T607" s="441"/>
    </row>
    <row r="608" spans="4:20" ht="13" thickBot="1">
      <c r="D608" s="63"/>
      <c r="E608" s="9" t="s">
        <v>611</v>
      </c>
      <c r="K608" s="80">
        <v>0</v>
      </c>
      <c r="N608" s="432">
        <f>N602*$K608</f>
        <v>0</v>
      </c>
      <c r="O608" s="432"/>
      <c r="P608" s="432"/>
      <c r="Q608" s="432"/>
      <c r="R608" s="432"/>
      <c r="S608" s="432"/>
      <c r="T608" s="441"/>
    </row>
    <row r="609" spans="3:23" ht="13.5" thickBot="1">
      <c r="D609" s="68"/>
      <c r="E609" s="69" t="s">
        <v>607</v>
      </c>
      <c r="F609" s="69"/>
      <c r="G609" s="69"/>
      <c r="H609" s="69"/>
      <c r="I609" s="69"/>
      <c r="J609" s="69"/>
      <c r="K609" s="69"/>
      <c r="L609" s="69"/>
      <c r="M609" s="69"/>
      <c r="N609" s="435">
        <f>SUM(N603:O608)</f>
        <v>0</v>
      </c>
      <c r="O609" s="435"/>
      <c r="P609" s="81"/>
      <c r="Q609" s="81"/>
      <c r="R609" s="81"/>
      <c r="S609" s="81"/>
      <c r="T609" s="70"/>
    </row>
    <row r="610" spans="3:23">
      <c r="D610" s="63"/>
      <c r="E610" s="9" t="s">
        <v>612</v>
      </c>
      <c r="K610" s="72">
        <v>0</v>
      </c>
      <c r="N610" s="439">
        <f>N609*$K610</f>
        <v>0</v>
      </c>
      <c r="O610" s="439"/>
      <c r="P610" s="439"/>
      <c r="Q610" s="439"/>
      <c r="R610" s="439"/>
      <c r="S610" s="439"/>
      <c r="T610" s="440"/>
    </row>
    <row r="611" spans="3:23" ht="13" thickBot="1">
      <c r="D611" s="63"/>
      <c r="E611" s="9" t="s">
        <v>613</v>
      </c>
      <c r="K611" s="72">
        <v>0.03</v>
      </c>
      <c r="N611" s="442">
        <f>N609*$K611</f>
        <v>0</v>
      </c>
      <c r="O611" s="442"/>
      <c r="P611" s="442"/>
      <c r="Q611" s="442"/>
      <c r="R611" s="442"/>
      <c r="S611" s="442"/>
      <c r="T611" s="443"/>
    </row>
    <row r="612" spans="3:23" ht="13.5" thickBot="1">
      <c r="C612" s="1">
        <v>19</v>
      </c>
      <c r="D612" s="68"/>
      <c r="E612" s="69" t="s">
        <v>607</v>
      </c>
      <c r="F612" s="69"/>
      <c r="G612" s="69"/>
      <c r="H612" s="69"/>
      <c r="I612" s="69"/>
      <c r="J612" s="69"/>
      <c r="K612" s="69"/>
      <c r="L612" s="69"/>
      <c r="M612" s="69"/>
      <c r="N612" s="435">
        <f>SUM(N609:O611)</f>
        <v>0</v>
      </c>
      <c r="O612" s="435"/>
      <c r="P612" s="81"/>
      <c r="Q612" s="81"/>
      <c r="R612" s="81"/>
      <c r="S612" s="81"/>
      <c r="T612" s="70"/>
      <c r="V612" s="76" t="s">
        <v>614</v>
      </c>
    </row>
    <row r="613" spans="3:23" ht="13" thickBot="1">
      <c r="C613" s="1"/>
      <c r="D613" s="63"/>
      <c r="E613" s="9" t="s">
        <v>615</v>
      </c>
      <c r="K613" s="72">
        <v>3.7499999999999999E-2</v>
      </c>
      <c r="N613" s="436">
        <f>N612*$K613</f>
        <v>0</v>
      </c>
      <c r="O613" s="436"/>
      <c r="P613" s="436"/>
      <c r="Q613" s="436"/>
      <c r="R613" s="436"/>
      <c r="S613" s="436"/>
      <c r="T613" s="437"/>
      <c r="W613" s="9" t="s">
        <v>477</v>
      </c>
    </row>
    <row r="614" spans="3:23" ht="13.5" thickBot="1">
      <c r="C614" s="1"/>
      <c r="D614" s="68"/>
      <c r="E614" s="69" t="s">
        <v>607</v>
      </c>
      <c r="F614" s="69"/>
      <c r="G614" s="69"/>
      <c r="H614" s="69"/>
      <c r="I614" s="69"/>
      <c r="J614" s="69"/>
      <c r="K614" s="69"/>
      <c r="L614" s="69"/>
      <c r="M614" s="69"/>
      <c r="N614" s="435">
        <f>SUM(N612:O613)</f>
        <v>0</v>
      </c>
      <c r="O614" s="435"/>
      <c r="P614" s="81"/>
      <c r="Q614" s="81"/>
      <c r="R614" s="81"/>
      <c r="S614" s="81"/>
      <c r="T614" s="70"/>
    </row>
    <row r="615" spans="3:23" ht="13" thickBot="1">
      <c r="D615" s="63"/>
      <c r="E615" s="9" t="s">
        <v>616</v>
      </c>
      <c r="K615" s="72">
        <v>0</v>
      </c>
      <c r="N615" s="436">
        <f>N614*$K615</f>
        <v>0</v>
      </c>
      <c r="O615" s="436"/>
      <c r="P615" s="436"/>
      <c r="Q615" s="436"/>
      <c r="R615" s="436"/>
      <c r="S615" s="436"/>
      <c r="T615" s="437"/>
    </row>
    <row r="616" spans="3:23" ht="13.5" thickBot="1">
      <c r="D616" s="73"/>
      <c r="E616" s="74" t="s">
        <v>18</v>
      </c>
      <c r="F616" s="74"/>
      <c r="G616" s="74"/>
      <c r="H616" s="74"/>
      <c r="I616" s="74"/>
      <c r="J616" s="74"/>
      <c r="K616" s="74"/>
      <c r="L616" s="74"/>
      <c r="M616" s="74"/>
      <c r="N616" s="438">
        <f>SUM(N614:O615)</f>
        <v>0</v>
      </c>
      <c r="O616" s="438"/>
      <c r="P616" s="82"/>
      <c r="Q616" s="82"/>
      <c r="R616" s="82"/>
      <c r="S616" s="82"/>
      <c r="T616" s="75"/>
    </row>
    <row r="617" spans="3:23" ht="13" thickTop="1"/>
    <row r="618" spans="3:23" ht="13" thickBot="1"/>
    <row r="619" spans="3:23" ht="13" thickTop="1">
      <c r="D619" s="59" t="s">
        <v>572</v>
      </c>
      <c r="E619" s="60" t="s">
        <v>573</v>
      </c>
      <c r="F619" s="61"/>
      <c r="G619" s="61"/>
      <c r="H619" s="61"/>
      <c r="I619" s="61"/>
      <c r="J619" s="61"/>
      <c r="K619" s="61"/>
      <c r="L619" s="61"/>
      <c r="M619" s="61"/>
      <c r="N619" s="61"/>
      <c r="O619" s="61"/>
      <c r="P619" s="61"/>
      <c r="Q619" s="61"/>
      <c r="R619" s="61"/>
      <c r="S619" s="61"/>
      <c r="T619" s="62"/>
    </row>
    <row r="620" spans="3:23">
      <c r="D620" s="63" t="str">
        <f>D27</f>
        <v>T</v>
      </c>
      <c r="E620">
        <f>E27</f>
        <v>0</v>
      </c>
      <c r="T620" s="64"/>
    </row>
    <row r="621" spans="3:23">
      <c r="D621" s="65"/>
      <c r="E621" s="66" t="s">
        <v>600</v>
      </c>
      <c r="F621" s="66" t="s">
        <v>601</v>
      </c>
      <c r="G621" s="45"/>
      <c r="H621" s="45"/>
      <c r="I621" s="45"/>
      <c r="J621" s="45"/>
      <c r="K621" s="374" t="s">
        <v>602</v>
      </c>
      <c r="L621" s="374" t="s">
        <v>603</v>
      </c>
      <c r="M621" s="374" t="s">
        <v>604</v>
      </c>
      <c r="N621" s="444" t="s">
        <v>605</v>
      </c>
      <c r="O621" s="444"/>
      <c r="P621" s="444" t="s">
        <v>606</v>
      </c>
      <c r="Q621" s="444"/>
      <c r="R621" s="444"/>
      <c r="S621" s="444"/>
      <c r="T621" s="445"/>
    </row>
    <row r="622" spans="3:23">
      <c r="D622" s="63"/>
      <c r="M622" s="67"/>
      <c r="N622" s="446">
        <f t="shared" ref="N622" si="67">K622*M622</f>
        <v>0</v>
      </c>
      <c r="O622" s="446"/>
      <c r="P622" s="446"/>
      <c r="Q622" s="446"/>
      <c r="R622" s="446"/>
      <c r="S622" s="446"/>
      <c r="T622" s="447"/>
    </row>
    <row r="623" spans="3:23">
      <c r="D623" s="63"/>
      <c r="L623" s="9"/>
      <c r="M623" s="67"/>
      <c r="N623" s="432">
        <f>K623*M623</f>
        <v>0</v>
      </c>
      <c r="O623" s="432"/>
      <c r="P623" s="433"/>
      <c r="Q623" s="433"/>
      <c r="R623" s="433"/>
      <c r="S623" s="433"/>
      <c r="T623" s="434"/>
    </row>
    <row r="624" spans="3:23">
      <c r="D624" s="63"/>
      <c r="E624" s="9"/>
      <c r="L624" s="9"/>
      <c r="M624" s="67"/>
      <c r="N624" s="432">
        <f t="shared" ref="N624:N629" si="68">K624*M624</f>
        <v>0</v>
      </c>
      <c r="O624" s="432"/>
      <c r="P624" s="433"/>
      <c r="Q624" s="433"/>
      <c r="R624" s="433"/>
      <c r="S624" s="433"/>
      <c r="T624" s="434"/>
    </row>
    <row r="625" spans="4:20">
      <c r="D625" s="63"/>
      <c r="L625" s="9"/>
      <c r="M625" s="67"/>
      <c r="N625" s="432">
        <f t="shared" si="68"/>
        <v>0</v>
      </c>
      <c r="O625" s="432"/>
      <c r="P625" s="433"/>
      <c r="Q625" s="433"/>
      <c r="R625" s="433"/>
      <c r="S625" s="433"/>
      <c r="T625" s="434"/>
    </row>
    <row r="626" spans="4:20">
      <c r="D626" s="63"/>
      <c r="L626" s="9"/>
      <c r="M626" s="67"/>
      <c r="N626" s="432">
        <f t="shared" si="68"/>
        <v>0</v>
      </c>
      <c r="O626" s="432"/>
      <c r="P626" s="433"/>
      <c r="Q626" s="433"/>
      <c r="R626" s="433"/>
      <c r="S626" s="433"/>
      <c r="T626" s="434"/>
    </row>
    <row r="627" spans="4:20">
      <c r="D627" s="63"/>
      <c r="L627" s="9"/>
      <c r="M627" s="67"/>
      <c r="N627" s="432">
        <f t="shared" si="68"/>
        <v>0</v>
      </c>
      <c r="O627" s="432"/>
      <c r="P627" s="433"/>
      <c r="Q627" s="433"/>
      <c r="R627" s="433"/>
      <c r="S627" s="433"/>
      <c r="T627" s="434"/>
    </row>
    <row r="628" spans="4:20">
      <c r="D628" s="63"/>
      <c r="M628" s="67"/>
      <c r="N628" s="432">
        <f t="shared" si="68"/>
        <v>0</v>
      </c>
      <c r="O628" s="432"/>
      <c r="P628" s="433"/>
      <c r="Q628" s="433"/>
      <c r="R628" s="433"/>
      <c r="S628" s="433"/>
      <c r="T628" s="434"/>
    </row>
    <row r="629" spans="4:20" ht="13" thickBot="1">
      <c r="D629" s="63"/>
      <c r="M629" s="67"/>
      <c r="N629" s="442">
        <f t="shared" si="68"/>
        <v>0</v>
      </c>
      <c r="O629" s="442"/>
      <c r="P629" s="442"/>
      <c r="Q629" s="442"/>
      <c r="R629" s="442"/>
      <c r="S629" s="442"/>
      <c r="T629" s="443"/>
    </row>
    <row r="630" spans="4:20" ht="13.5" thickBot="1">
      <c r="D630" s="68"/>
      <c r="E630" s="69" t="s">
        <v>607</v>
      </c>
      <c r="F630" s="69"/>
      <c r="G630" s="69"/>
      <c r="H630" s="69"/>
      <c r="I630" s="69"/>
      <c r="J630" s="69"/>
      <c r="K630" s="69"/>
      <c r="L630" s="69"/>
      <c r="M630" s="69"/>
      <c r="N630" s="435">
        <f>SUM(N621:O629)</f>
        <v>0</v>
      </c>
      <c r="O630" s="435"/>
      <c r="P630" s="81"/>
      <c r="Q630" s="81"/>
      <c r="R630" s="81"/>
      <c r="S630" s="81"/>
      <c r="T630" s="70"/>
    </row>
    <row r="631" spans="4:20" ht="13" thickBot="1">
      <c r="D631" s="63"/>
      <c r="E631" s="9" t="s">
        <v>608</v>
      </c>
      <c r="N631" s="436"/>
      <c r="O631" s="436"/>
      <c r="P631" s="436"/>
      <c r="Q631" s="436"/>
      <c r="R631" s="436"/>
      <c r="S631" s="436"/>
      <c r="T631" s="437"/>
    </row>
    <row r="632" spans="4:20" ht="13.5" thickBot="1">
      <c r="D632" s="68"/>
      <c r="E632" s="69" t="s">
        <v>607</v>
      </c>
      <c r="F632" s="69"/>
      <c r="G632" s="69"/>
      <c r="H632" s="69"/>
      <c r="I632" s="69"/>
      <c r="J632" s="69"/>
      <c r="K632" s="69"/>
      <c r="L632" s="69"/>
      <c r="M632" s="69"/>
      <c r="N632" s="435">
        <f>SUM(N630:O631)</f>
        <v>0</v>
      </c>
      <c r="O632" s="435"/>
      <c r="P632" s="81"/>
      <c r="Q632" s="81"/>
      <c r="R632" s="81"/>
      <c r="S632" s="81"/>
      <c r="T632" s="70"/>
    </row>
    <row r="633" spans="4:20">
      <c r="D633" s="63"/>
      <c r="E633" s="9" t="s">
        <v>123</v>
      </c>
      <c r="K633" s="71">
        <v>1.15E-2</v>
      </c>
      <c r="N633" s="432">
        <f>$W641*$K633</f>
        <v>0</v>
      </c>
      <c r="O633" s="432"/>
      <c r="P633" s="439"/>
      <c r="Q633" s="439"/>
      <c r="R633" s="439"/>
      <c r="S633" s="439"/>
      <c r="T633" s="440"/>
    </row>
    <row r="634" spans="4:20">
      <c r="D634" s="63"/>
      <c r="E634" s="9" t="s">
        <v>124</v>
      </c>
      <c r="K634" s="78">
        <v>2E-3</v>
      </c>
      <c r="N634" s="432">
        <f>$W641*$K634</f>
        <v>0</v>
      </c>
      <c r="O634" s="432"/>
      <c r="P634" s="432"/>
      <c r="Q634" s="432"/>
      <c r="R634" s="432"/>
      <c r="S634" s="432"/>
      <c r="T634" s="441"/>
    </row>
    <row r="635" spans="4:20">
      <c r="D635" s="63"/>
      <c r="E635" s="9" t="s">
        <v>609</v>
      </c>
      <c r="K635" s="78">
        <v>3.8899999999999998E-3</v>
      </c>
      <c r="N635" s="432">
        <f>$W641*$K635</f>
        <v>0</v>
      </c>
      <c r="O635" s="432"/>
      <c r="P635" s="432"/>
      <c r="Q635" s="432"/>
      <c r="R635" s="432"/>
      <c r="S635" s="432"/>
      <c r="T635" s="441"/>
    </row>
    <row r="636" spans="4:20">
      <c r="D636" s="63"/>
      <c r="E636" s="9" t="s">
        <v>610</v>
      </c>
      <c r="K636" s="79">
        <v>1.2999999999999999E-2</v>
      </c>
      <c r="N636" s="432">
        <f>N630*$K636</f>
        <v>0</v>
      </c>
      <c r="O636" s="432"/>
      <c r="P636" s="432"/>
      <c r="Q636" s="432"/>
      <c r="R636" s="432"/>
      <c r="S636" s="432"/>
      <c r="T636" s="441"/>
    </row>
    <row r="637" spans="4:20" ht="13" thickBot="1">
      <c r="D637" s="63"/>
      <c r="E637" s="9" t="s">
        <v>611</v>
      </c>
      <c r="K637" s="80">
        <v>0</v>
      </c>
      <c r="N637" s="432">
        <f>N631*$K637</f>
        <v>0</v>
      </c>
      <c r="O637" s="432"/>
      <c r="P637" s="432"/>
      <c r="Q637" s="432"/>
      <c r="R637" s="432"/>
      <c r="S637" s="432"/>
      <c r="T637" s="441"/>
    </row>
    <row r="638" spans="4:20" ht="13.5" thickBot="1">
      <c r="D638" s="68"/>
      <c r="E638" s="69" t="s">
        <v>607</v>
      </c>
      <c r="F638" s="69"/>
      <c r="G638" s="69"/>
      <c r="H638" s="69"/>
      <c r="I638" s="69"/>
      <c r="J638" s="69"/>
      <c r="K638" s="69"/>
      <c r="L638" s="69"/>
      <c r="M638" s="69"/>
      <c r="N638" s="435">
        <f>SUM(N632:O637)</f>
        <v>0</v>
      </c>
      <c r="O638" s="435"/>
      <c r="P638" s="81"/>
      <c r="Q638" s="81"/>
      <c r="R638" s="81"/>
      <c r="S638" s="81"/>
      <c r="T638" s="70"/>
    </row>
    <row r="639" spans="4:20">
      <c r="D639" s="63"/>
      <c r="E639" s="9" t="s">
        <v>612</v>
      </c>
      <c r="K639" s="72">
        <v>0</v>
      </c>
      <c r="N639" s="439">
        <f>N638*$K639</f>
        <v>0</v>
      </c>
      <c r="O639" s="439"/>
      <c r="P639" s="439"/>
      <c r="Q639" s="439"/>
      <c r="R639" s="439"/>
      <c r="S639" s="439"/>
      <c r="T639" s="440"/>
    </row>
    <row r="640" spans="4:20" ht="13" thickBot="1">
      <c r="D640" s="63"/>
      <c r="E640" s="9" t="s">
        <v>613</v>
      </c>
      <c r="K640" s="72">
        <v>0.03</v>
      </c>
      <c r="N640" s="442">
        <f>N638*$K640</f>
        <v>0</v>
      </c>
      <c r="O640" s="442"/>
      <c r="P640" s="442"/>
      <c r="Q640" s="442"/>
      <c r="R640" s="442"/>
      <c r="S640" s="442"/>
      <c r="T640" s="443"/>
    </row>
    <row r="641" spans="3:22" ht="13.5" thickBot="1">
      <c r="C641" s="1">
        <v>20</v>
      </c>
      <c r="D641" s="68"/>
      <c r="E641" s="69" t="s">
        <v>607</v>
      </c>
      <c r="F641" s="69"/>
      <c r="G641" s="69"/>
      <c r="H641" s="69"/>
      <c r="I641" s="69"/>
      <c r="J641" s="69"/>
      <c r="K641" s="69"/>
      <c r="L641" s="69"/>
      <c r="M641" s="69"/>
      <c r="N641" s="435">
        <f>SUM(N638:O640)</f>
        <v>0</v>
      </c>
      <c r="O641" s="435"/>
      <c r="P641" s="81"/>
      <c r="Q641" s="81"/>
      <c r="R641" s="81"/>
      <c r="S641" s="81"/>
      <c r="T641" s="70"/>
      <c r="V641" s="76" t="s">
        <v>614</v>
      </c>
    </row>
    <row r="642" spans="3:22" ht="13" thickBot="1">
      <c r="D642" s="63"/>
      <c r="E642" s="9" t="s">
        <v>615</v>
      </c>
      <c r="K642" s="72">
        <v>3.7499999999999999E-2</v>
      </c>
      <c r="N642" s="436">
        <f>N641*$K642</f>
        <v>0</v>
      </c>
      <c r="O642" s="436"/>
      <c r="P642" s="436"/>
      <c r="Q642" s="436"/>
      <c r="R642" s="436"/>
      <c r="S642" s="436"/>
      <c r="T642" s="437"/>
    </row>
    <row r="643" spans="3:22" ht="13.5" thickBot="1">
      <c r="D643" s="68"/>
      <c r="E643" s="69" t="s">
        <v>607</v>
      </c>
      <c r="F643" s="69"/>
      <c r="G643" s="69"/>
      <c r="H643" s="69"/>
      <c r="I643" s="69"/>
      <c r="J643" s="69"/>
      <c r="K643" s="69"/>
      <c r="L643" s="69"/>
      <c r="M643" s="69"/>
      <c r="N643" s="435">
        <f>SUM(N641:O642)</f>
        <v>0</v>
      </c>
      <c r="O643" s="435"/>
      <c r="P643" s="81"/>
      <c r="Q643" s="81"/>
      <c r="R643" s="81"/>
      <c r="S643" s="81"/>
      <c r="T643" s="70"/>
    </row>
    <row r="644" spans="3:22" ht="13" thickBot="1">
      <c r="D644" s="63"/>
      <c r="E644" s="9" t="s">
        <v>616</v>
      </c>
      <c r="K644" s="72">
        <v>0</v>
      </c>
      <c r="N644" s="436">
        <f>N643*$K644</f>
        <v>0</v>
      </c>
      <c r="O644" s="436"/>
      <c r="P644" s="436"/>
      <c r="Q644" s="436"/>
      <c r="R644" s="436"/>
      <c r="S644" s="436"/>
      <c r="T644" s="437"/>
    </row>
    <row r="645" spans="3:22" ht="13.5" thickBot="1">
      <c r="D645" s="73"/>
      <c r="E645" s="74" t="s">
        <v>18</v>
      </c>
      <c r="F645" s="74"/>
      <c r="G645" s="74"/>
      <c r="H645" s="74"/>
      <c r="I645" s="74"/>
      <c r="J645" s="74"/>
      <c r="K645" s="74"/>
      <c r="L645" s="74"/>
      <c r="M645" s="74"/>
      <c r="N645" s="438">
        <f>SUM(N643:O644)</f>
        <v>0</v>
      </c>
      <c r="O645" s="438"/>
      <c r="P645" s="82"/>
      <c r="Q645" s="82"/>
      <c r="R645" s="82"/>
      <c r="S645" s="82"/>
      <c r="T645" s="75"/>
    </row>
    <row r="646" spans="3:22" ht="13" thickTop="1"/>
    <row r="648" spans="3:22">
      <c r="D648" s="59" t="s">
        <v>572</v>
      </c>
      <c r="E648" s="60" t="s">
        <v>573</v>
      </c>
      <c r="F648" s="61"/>
      <c r="G648" s="61"/>
      <c r="H648" s="61"/>
      <c r="I648" s="61"/>
      <c r="J648" s="61"/>
      <c r="K648" s="61"/>
      <c r="L648" s="61"/>
      <c r="M648" s="61"/>
      <c r="N648" s="61"/>
      <c r="O648" s="61"/>
      <c r="P648" s="61"/>
      <c r="Q648" s="61"/>
      <c r="R648" s="61"/>
      <c r="S648" s="61"/>
      <c r="T648" s="62"/>
    </row>
    <row r="649" spans="3:22">
      <c r="D649" s="63" t="str">
        <f>D28</f>
        <v>U</v>
      </c>
      <c r="E649">
        <f>E28</f>
        <v>0</v>
      </c>
      <c r="T649" s="64"/>
    </row>
    <row r="650" spans="3:22">
      <c r="D650" s="65"/>
      <c r="E650" s="66" t="s">
        <v>600</v>
      </c>
      <c r="F650" s="66" t="s">
        <v>601</v>
      </c>
      <c r="G650" s="45"/>
      <c r="H650" s="45"/>
      <c r="I650" s="45"/>
      <c r="J650" s="45"/>
      <c r="K650" s="374" t="s">
        <v>602</v>
      </c>
      <c r="L650" s="374" t="s">
        <v>603</v>
      </c>
      <c r="M650" s="374" t="s">
        <v>604</v>
      </c>
      <c r="N650" s="444" t="s">
        <v>605</v>
      </c>
      <c r="O650" s="444"/>
      <c r="P650" s="444" t="s">
        <v>606</v>
      </c>
      <c r="Q650" s="444"/>
      <c r="R650" s="444"/>
      <c r="S650" s="444"/>
      <c r="T650" s="445"/>
    </row>
    <row r="651" spans="3:22">
      <c r="D651" s="63"/>
      <c r="M651" s="67"/>
      <c r="N651" s="446">
        <f t="shared" ref="N651" si="69">K651*M651</f>
        <v>0</v>
      </c>
      <c r="O651" s="446"/>
      <c r="P651" s="446"/>
      <c r="Q651" s="446"/>
      <c r="R651" s="446"/>
      <c r="S651" s="446"/>
      <c r="T651" s="447"/>
    </row>
    <row r="652" spans="3:22">
      <c r="D652" s="63"/>
      <c r="F652" s="9" t="s">
        <v>667</v>
      </c>
      <c r="L652" s="9" t="s">
        <v>162</v>
      </c>
      <c r="M652" s="67">
        <f>65*175</f>
        <v>11375</v>
      </c>
      <c r="N652" s="432">
        <f>K652*M652</f>
        <v>0</v>
      </c>
      <c r="O652" s="432"/>
      <c r="P652" s="433"/>
      <c r="Q652" s="433"/>
      <c r="R652" s="433"/>
      <c r="S652" s="433"/>
      <c r="T652" s="434"/>
    </row>
    <row r="653" spans="3:22">
      <c r="D653" s="63"/>
      <c r="E653" s="9"/>
      <c r="F653" s="9" t="s">
        <v>434</v>
      </c>
      <c r="L653" s="9" t="s">
        <v>162</v>
      </c>
      <c r="M653" s="67">
        <v>1500</v>
      </c>
      <c r="N653" s="432">
        <f t="shared" ref="N653:N658" si="70">K653*M653</f>
        <v>0</v>
      </c>
      <c r="O653" s="432"/>
      <c r="P653" s="433"/>
      <c r="Q653" s="433"/>
      <c r="R653" s="433"/>
      <c r="S653" s="433"/>
      <c r="T653" s="434"/>
    </row>
    <row r="654" spans="3:22">
      <c r="D654" s="63"/>
      <c r="L654" s="9"/>
      <c r="M654" s="67"/>
      <c r="N654" s="432">
        <f t="shared" si="70"/>
        <v>0</v>
      </c>
      <c r="O654" s="432"/>
      <c r="P654" s="433"/>
      <c r="Q654" s="433"/>
      <c r="R654" s="433"/>
      <c r="S654" s="433"/>
      <c r="T654" s="434"/>
    </row>
    <row r="655" spans="3:22">
      <c r="D655" s="63"/>
      <c r="L655" s="9"/>
      <c r="M655" s="67"/>
      <c r="N655" s="432">
        <f t="shared" si="70"/>
        <v>0</v>
      </c>
      <c r="O655" s="432"/>
      <c r="P655" s="433"/>
      <c r="Q655" s="433"/>
      <c r="R655" s="433"/>
      <c r="S655" s="433"/>
      <c r="T655" s="434"/>
    </row>
    <row r="656" spans="3:22">
      <c r="D656" s="63"/>
      <c r="L656" s="9"/>
      <c r="M656" s="67"/>
      <c r="N656" s="432">
        <f t="shared" si="70"/>
        <v>0</v>
      </c>
      <c r="O656" s="432"/>
      <c r="P656" s="433"/>
      <c r="Q656" s="433"/>
      <c r="R656" s="433"/>
      <c r="S656" s="433"/>
      <c r="T656" s="434"/>
    </row>
    <row r="657" spans="3:22">
      <c r="D657" s="63"/>
      <c r="M657" s="67"/>
      <c r="N657" s="432">
        <f t="shared" si="70"/>
        <v>0</v>
      </c>
      <c r="O657" s="432"/>
      <c r="P657" s="433"/>
      <c r="Q657" s="433"/>
      <c r="R657" s="433"/>
      <c r="S657" s="433"/>
      <c r="T657" s="434"/>
    </row>
    <row r="658" spans="3:22">
      <c r="D658" s="63"/>
      <c r="M658" s="67"/>
      <c r="N658" s="442">
        <f t="shared" si="70"/>
        <v>0</v>
      </c>
      <c r="O658" s="442"/>
      <c r="P658" s="442"/>
      <c r="Q658" s="442"/>
      <c r="R658" s="442"/>
      <c r="S658" s="442"/>
      <c r="T658" s="443"/>
    </row>
    <row r="659" spans="3:22" ht="13">
      <c r="D659" s="68"/>
      <c r="E659" s="69" t="s">
        <v>607</v>
      </c>
      <c r="F659" s="69"/>
      <c r="G659" s="69"/>
      <c r="H659" s="69"/>
      <c r="I659" s="69"/>
      <c r="J659" s="69"/>
      <c r="K659" s="69"/>
      <c r="L659" s="69"/>
      <c r="M659" s="69"/>
      <c r="N659" s="435">
        <f>SUM(N650:O658)</f>
        <v>0</v>
      </c>
      <c r="O659" s="435"/>
      <c r="P659" s="81"/>
      <c r="Q659" s="81"/>
      <c r="R659" s="81"/>
      <c r="S659" s="81"/>
      <c r="T659" s="70"/>
    </row>
    <row r="660" spans="3:22">
      <c r="D660" s="63"/>
      <c r="E660" s="9" t="s">
        <v>608</v>
      </c>
      <c r="N660" s="436"/>
      <c r="O660" s="436"/>
      <c r="P660" s="436"/>
      <c r="Q660" s="436"/>
      <c r="R660" s="436"/>
      <c r="S660" s="436"/>
      <c r="T660" s="437"/>
    </row>
    <row r="661" spans="3:22" ht="13">
      <c r="D661" s="68"/>
      <c r="E661" s="69" t="s">
        <v>607</v>
      </c>
      <c r="F661" s="69"/>
      <c r="G661" s="69"/>
      <c r="H661" s="69"/>
      <c r="I661" s="69"/>
      <c r="J661" s="69"/>
      <c r="K661" s="69"/>
      <c r="L661" s="69"/>
      <c r="M661" s="69"/>
      <c r="N661" s="435">
        <f>SUM(N659:O660)</f>
        <v>0</v>
      </c>
      <c r="O661" s="435"/>
      <c r="P661" s="81"/>
      <c r="Q661" s="81"/>
      <c r="R661" s="81"/>
      <c r="S661" s="81"/>
      <c r="T661" s="70"/>
    </row>
    <row r="662" spans="3:22">
      <c r="D662" s="63"/>
      <c r="E662" s="9" t="s">
        <v>123</v>
      </c>
      <c r="K662" s="71">
        <v>1.15E-2</v>
      </c>
      <c r="N662" s="432">
        <f>$W670*$K662</f>
        <v>0</v>
      </c>
      <c r="O662" s="432"/>
      <c r="P662" s="439"/>
      <c r="Q662" s="439"/>
      <c r="R662" s="439"/>
      <c r="S662" s="439"/>
      <c r="T662" s="440"/>
    </row>
    <row r="663" spans="3:22">
      <c r="D663" s="63"/>
      <c r="E663" s="9" t="s">
        <v>124</v>
      </c>
      <c r="K663" s="78">
        <v>2E-3</v>
      </c>
      <c r="N663" s="432">
        <f>$W670*$K663</f>
        <v>0</v>
      </c>
      <c r="O663" s="432"/>
      <c r="P663" s="432"/>
      <c r="Q663" s="432"/>
      <c r="R663" s="432"/>
      <c r="S663" s="432"/>
      <c r="T663" s="441"/>
    </row>
    <row r="664" spans="3:22">
      <c r="D664" s="63"/>
      <c r="E664" s="9" t="s">
        <v>609</v>
      </c>
      <c r="K664" s="78">
        <v>3.8899999999999998E-3</v>
      </c>
      <c r="N664" s="432">
        <f>$W670*$K664</f>
        <v>0</v>
      </c>
      <c r="O664" s="432"/>
      <c r="P664" s="432"/>
      <c r="Q664" s="432"/>
      <c r="R664" s="432"/>
      <c r="S664" s="432"/>
      <c r="T664" s="441"/>
    </row>
    <row r="665" spans="3:22">
      <c r="D665" s="63"/>
      <c r="E665" s="9" t="s">
        <v>610</v>
      </c>
      <c r="K665" s="79">
        <v>1.2999999999999999E-2</v>
      </c>
      <c r="N665" s="432">
        <f>N659*$K665</f>
        <v>0</v>
      </c>
      <c r="O665" s="432"/>
      <c r="P665" s="432"/>
      <c r="Q665" s="432"/>
      <c r="R665" s="432"/>
      <c r="S665" s="432"/>
      <c r="T665" s="441"/>
    </row>
    <row r="666" spans="3:22">
      <c r="D666" s="63"/>
      <c r="E666" s="9" t="s">
        <v>611</v>
      </c>
      <c r="K666" s="80">
        <v>0</v>
      </c>
      <c r="N666" s="432">
        <f>N660*$K666</f>
        <v>0</v>
      </c>
      <c r="O666" s="432"/>
      <c r="P666" s="432"/>
      <c r="Q666" s="432"/>
      <c r="R666" s="432"/>
      <c r="S666" s="432"/>
      <c r="T666" s="441"/>
    </row>
    <row r="667" spans="3:22" ht="13">
      <c r="D667" s="68"/>
      <c r="E667" s="69" t="s">
        <v>607</v>
      </c>
      <c r="F667" s="69"/>
      <c r="G667" s="69"/>
      <c r="H667" s="69"/>
      <c r="I667" s="69"/>
      <c r="J667" s="69"/>
      <c r="K667" s="69"/>
      <c r="L667" s="69"/>
      <c r="M667" s="69"/>
      <c r="N667" s="435">
        <f>SUM(N661:O666)</f>
        <v>0</v>
      </c>
      <c r="O667" s="435"/>
      <c r="P667" s="81"/>
      <c r="Q667" s="81"/>
      <c r="R667" s="81"/>
      <c r="S667" s="81"/>
      <c r="T667" s="70"/>
    </row>
    <row r="668" spans="3:22">
      <c r="D668" s="63"/>
      <c r="E668" s="9" t="s">
        <v>612</v>
      </c>
      <c r="K668" s="72">
        <v>0</v>
      </c>
      <c r="N668" s="439">
        <f>N667*$K668</f>
        <v>0</v>
      </c>
      <c r="O668" s="439"/>
      <c r="P668" s="439"/>
      <c r="Q668" s="439"/>
      <c r="R668" s="439"/>
      <c r="S668" s="439"/>
      <c r="T668" s="440"/>
    </row>
    <row r="669" spans="3:22">
      <c r="D669" s="63"/>
      <c r="E669" s="9" t="s">
        <v>613</v>
      </c>
      <c r="K669" s="72">
        <v>0.03</v>
      </c>
      <c r="N669" s="442">
        <f>N667*$K669</f>
        <v>0</v>
      </c>
      <c r="O669" s="442"/>
      <c r="P669" s="442"/>
      <c r="Q669" s="442"/>
      <c r="R669" s="442"/>
      <c r="S669" s="442"/>
      <c r="T669" s="443"/>
    </row>
    <row r="670" spans="3:22" ht="13">
      <c r="C670" s="1">
        <v>21</v>
      </c>
      <c r="D670" s="68"/>
      <c r="E670" s="69" t="s">
        <v>607</v>
      </c>
      <c r="F670" s="69"/>
      <c r="G670" s="69"/>
      <c r="H670" s="69"/>
      <c r="I670" s="69"/>
      <c r="J670" s="69"/>
      <c r="K670" s="69"/>
      <c r="L670" s="69"/>
      <c r="M670" s="69"/>
      <c r="N670" s="435">
        <f>SUM(N667:O669)</f>
        <v>0</v>
      </c>
      <c r="O670" s="435"/>
      <c r="P670" s="81"/>
      <c r="Q670" s="81"/>
      <c r="R670" s="81"/>
      <c r="S670" s="81"/>
      <c r="T670" s="70"/>
      <c r="V670" s="76" t="s">
        <v>614</v>
      </c>
    </row>
    <row r="671" spans="3:22">
      <c r="C671" s="1"/>
      <c r="D671" s="63"/>
      <c r="E671" s="9" t="s">
        <v>615</v>
      </c>
      <c r="K671" s="72">
        <v>3.7499999999999999E-2</v>
      </c>
      <c r="N671" s="436">
        <f>N670*$K671</f>
        <v>0</v>
      </c>
      <c r="O671" s="436"/>
      <c r="P671" s="436"/>
      <c r="Q671" s="436"/>
      <c r="R671" s="436"/>
      <c r="S671" s="436"/>
      <c r="T671" s="437"/>
    </row>
    <row r="672" spans="3:22" ht="13">
      <c r="C672" s="1"/>
      <c r="D672" s="68"/>
      <c r="E672" s="69" t="s">
        <v>607</v>
      </c>
      <c r="F672" s="69"/>
      <c r="G672" s="69"/>
      <c r="H672" s="69"/>
      <c r="I672" s="69"/>
      <c r="J672" s="69"/>
      <c r="K672" s="69"/>
      <c r="L672" s="69"/>
      <c r="M672" s="69"/>
      <c r="N672" s="435">
        <f>SUM(N670:O671)</f>
        <v>0</v>
      </c>
      <c r="O672" s="435"/>
      <c r="P672" s="81"/>
      <c r="Q672" s="81"/>
      <c r="R672" s="81"/>
      <c r="S672" s="81"/>
      <c r="T672" s="70"/>
    </row>
    <row r="673" spans="4:20">
      <c r="D673" s="63"/>
      <c r="E673" s="9" t="s">
        <v>616</v>
      </c>
      <c r="K673" s="72">
        <v>0</v>
      </c>
      <c r="N673" s="436">
        <f>N672*$K673</f>
        <v>0</v>
      </c>
      <c r="O673" s="436"/>
      <c r="P673" s="436"/>
      <c r="Q673" s="436"/>
      <c r="R673" s="436"/>
      <c r="S673" s="436"/>
      <c r="T673" s="437"/>
    </row>
    <row r="674" spans="4:20" ht="13">
      <c r="D674" s="73"/>
      <c r="E674" s="74" t="s">
        <v>18</v>
      </c>
      <c r="F674" s="74"/>
      <c r="G674" s="74"/>
      <c r="H674" s="74"/>
      <c r="I674" s="74"/>
      <c r="J674" s="74"/>
      <c r="K674" s="74"/>
      <c r="L674" s="74"/>
      <c r="M674" s="74"/>
      <c r="N674" s="438">
        <f>SUM(N672:O673)</f>
        <v>0</v>
      </c>
      <c r="O674" s="438"/>
      <c r="P674" s="82"/>
      <c r="Q674" s="82"/>
      <c r="R674" s="82"/>
      <c r="S674" s="82"/>
      <c r="T674" s="75"/>
    </row>
    <row r="677" spans="4:20">
      <c r="D677" s="59" t="s">
        <v>572</v>
      </c>
      <c r="E677" s="60" t="s">
        <v>573</v>
      </c>
      <c r="F677" s="61"/>
      <c r="G677" s="61"/>
      <c r="H677" s="61"/>
      <c r="I677" s="61"/>
      <c r="J677" s="61"/>
      <c r="K677" s="61"/>
      <c r="L677" s="61"/>
      <c r="M677" s="61"/>
      <c r="N677" s="61"/>
      <c r="O677" s="61"/>
      <c r="P677" s="61"/>
      <c r="Q677" s="61"/>
      <c r="R677" s="61"/>
      <c r="S677" s="61"/>
      <c r="T677" s="62"/>
    </row>
    <row r="678" spans="4:20">
      <c r="D678" s="63" t="e">
        <f>#REF!</f>
        <v>#REF!</v>
      </c>
      <c r="E678" t="e">
        <f>#REF!</f>
        <v>#REF!</v>
      </c>
      <c r="T678" s="64"/>
    </row>
    <row r="679" spans="4:20">
      <c r="D679" s="65"/>
      <c r="E679" s="66" t="s">
        <v>600</v>
      </c>
      <c r="F679" s="66" t="s">
        <v>601</v>
      </c>
      <c r="G679" s="45"/>
      <c r="H679" s="45"/>
      <c r="I679" s="45"/>
      <c r="J679" s="45"/>
      <c r="K679" s="374" t="s">
        <v>602</v>
      </c>
      <c r="L679" s="374" t="s">
        <v>603</v>
      </c>
      <c r="M679" s="374" t="s">
        <v>604</v>
      </c>
      <c r="N679" s="444" t="s">
        <v>605</v>
      </c>
      <c r="O679" s="444"/>
      <c r="P679" s="444" t="s">
        <v>606</v>
      </c>
      <c r="Q679" s="444"/>
      <c r="R679" s="444"/>
      <c r="S679" s="444"/>
      <c r="T679" s="445"/>
    </row>
    <row r="680" spans="4:20">
      <c r="D680" s="63"/>
      <c r="M680" s="67"/>
      <c r="N680" s="446">
        <f t="shared" ref="N680" si="71">K680*M680</f>
        <v>0</v>
      </c>
      <c r="O680" s="446"/>
      <c r="P680" s="446"/>
      <c r="Q680" s="446"/>
      <c r="R680" s="446"/>
      <c r="S680" s="446"/>
      <c r="T680" s="447"/>
    </row>
    <row r="681" spans="4:20">
      <c r="D681" s="63"/>
      <c r="L681" s="9"/>
      <c r="M681" s="67"/>
      <c r="N681" s="432">
        <f>K681*M681</f>
        <v>0</v>
      </c>
      <c r="O681" s="432"/>
      <c r="P681" s="433"/>
      <c r="Q681" s="433"/>
      <c r="R681" s="433"/>
      <c r="S681" s="433"/>
      <c r="T681" s="434"/>
    </row>
    <row r="682" spans="4:20">
      <c r="D682" s="63"/>
      <c r="E682" s="9"/>
      <c r="L682" s="9"/>
      <c r="M682" s="67"/>
      <c r="N682" s="432">
        <f t="shared" ref="N682:N687" si="72">K682*M682</f>
        <v>0</v>
      </c>
      <c r="O682" s="432"/>
      <c r="P682" s="433"/>
      <c r="Q682" s="433"/>
      <c r="R682" s="433"/>
      <c r="S682" s="433"/>
      <c r="T682" s="434"/>
    </row>
    <row r="683" spans="4:20">
      <c r="D683" s="63"/>
      <c r="L683" s="9"/>
      <c r="M683" s="67"/>
      <c r="N683" s="432">
        <f t="shared" si="72"/>
        <v>0</v>
      </c>
      <c r="O683" s="432"/>
      <c r="P683" s="433"/>
      <c r="Q683" s="433"/>
      <c r="R683" s="433"/>
      <c r="S683" s="433"/>
      <c r="T683" s="434"/>
    </row>
    <row r="684" spans="4:20">
      <c r="D684" s="63"/>
      <c r="L684" s="9"/>
      <c r="M684" s="67"/>
      <c r="N684" s="432">
        <f t="shared" si="72"/>
        <v>0</v>
      </c>
      <c r="O684" s="432"/>
      <c r="P684" s="433"/>
      <c r="Q684" s="433"/>
      <c r="R684" s="433"/>
      <c r="S684" s="433"/>
      <c r="T684" s="434"/>
    </row>
    <row r="685" spans="4:20">
      <c r="D685" s="63"/>
      <c r="L685" s="9"/>
      <c r="M685" s="67"/>
      <c r="N685" s="432">
        <f t="shared" si="72"/>
        <v>0</v>
      </c>
      <c r="O685" s="432"/>
      <c r="P685" s="433"/>
      <c r="Q685" s="433"/>
      <c r="R685" s="433"/>
      <c r="S685" s="433"/>
      <c r="T685" s="434"/>
    </row>
    <row r="686" spans="4:20">
      <c r="D686" s="63"/>
      <c r="M686" s="67"/>
      <c r="N686" s="432">
        <f t="shared" si="72"/>
        <v>0</v>
      </c>
      <c r="O686" s="432"/>
      <c r="P686" s="433"/>
      <c r="Q686" s="433"/>
      <c r="R686" s="433"/>
      <c r="S686" s="433"/>
      <c r="T686" s="434"/>
    </row>
    <row r="687" spans="4:20">
      <c r="D687" s="63"/>
      <c r="M687" s="67"/>
      <c r="N687" s="442">
        <f t="shared" si="72"/>
        <v>0</v>
      </c>
      <c r="O687" s="442"/>
      <c r="P687" s="442"/>
      <c r="Q687" s="442"/>
      <c r="R687" s="442"/>
      <c r="S687" s="442"/>
      <c r="T687" s="443"/>
    </row>
    <row r="688" spans="4:20" ht="13">
      <c r="D688" s="68"/>
      <c r="E688" s="69" t="s">
        <v>607</v>
      </c>
      <c r="F688" s="69"/>
      <c r="G688" s="69"/>
      <c r="H688" s="69"/>
      <c r="I688" s="69"/>
      <c r="J688" s="69"/>
      <c r="K688" s="69"/>
      <c r="L688" s="69"/>
      <c r="M688" s="69"/>
      <c r="N688" s="435">
        <f>SUM(N679:O687)</f>
        <v>0</v>
      </c>
      <c r="O688" s="435"/>
      <c r="P688" s="81"/>
      <c r="Q688" s="81"/>
      <c r="R688" s="81"/>
      <c r="S688" s="81"/>
      <c r="T688" s="70"/>
    </row>
    <row r="689" spans="3:22">
      <c r="D689" s="63"/>
      <c r="E689" s="9" t="s">
        <v>608</v>
      </c>
      <c r="N689" s="436"/>
      <c r="O689" s="436"/>
      <c r="P689" s="436"/>
      <c r="Q689" s="436"/>
      <c r="R689" s="436"/>
      <c r="S689" s="436"/>
      <c r="T689" s="437"/>
    </row>
    <row r="690" spans="3:22" ht="13">
      <c r="D690" s="68"/>
      <c r="E690" s="69" t="s">
        <v>607</v>
      </c>
      <c r="F690" s="69"/>
      <c r="G690" s="69"/>
      <c r="H690" s="69"/>
      <c r="I690" s="69"/>
      <c r="J690" s="69"/>
      <c r="K690" s="69"/>
      <c r="L690" s="69"/>
      <c r="M690" s="69"/>
      <c r="N690" s="435">
        <f>SUM(N688:O689)</f>
        <v>0</v>
      </c>
      <c r="O690" s="435"/>
      <c r="P690" s="81"/>
      <c r="Q690" s="81"/>
      <c r="R690" s="81"/>
      <c r="S690" s="81"/>
      <c r="T690" s="70"/>
    </row>
    <row r="691" spans="3:22">
      <c r="D691" s="63"/>
      <c r="E691" s="9" t="s">
        <v>123</v>
      </c>
      <c r="K691" s="71" t="e">
        <f>GL</f>
        <v>#REF!</v>
      </c>
      <c r="N691" s="432" t="e">
        <f>$W699*$K691</f>
        <v>#REF!</v>
      </c>
      <c r="O691" s="432"/>
      <c r="P691" s="439"/>
      <c r="Q691" s="439"/>
      <c r="R691" s="439"/>
      <c r="S691" s="439"/>
      <c r="T691" s="440"/>
    </row>
    <row r="692" spans="3:22">
      <c r="D692" s="63"/>
      <c r="E692" s="9" t="s">
        <v>124</v>
      </c>
      <c r="K692" s="78" t="e">
        <f>BR</f>
        <v>#REF!</v>
      </c>
      <c r="N692" s="432" t="e">
        <f>$W699*$K692</f>
        <v>#REF!</v>
      </c>
      <c r="O692" s="432"/>
      <c r="P692" s="432"/>
      <c r="Q692" s="432"/>
      <c r="R692" s="432"/>
      <c r="S692" s="432"/>
      <c r="T692" s="441"/>
    </row>
    <row r="693" spans="3:22">
      <c r="D693" s="63"/>
      <c r="E693" s="9" t="s">
        <v>609</v>
      </c>
      <c r="K693" s="78" t="e">
        <f>PERMIT</f>
        <v>#REF!</v>
      </c>
      <c r="N693" s="432" t="e">
        <f>$W699*$K693</f>
        <v>#REF!</v>
      </c>
      <c r="O693" s="432"/>
      <c r="P693" s="432"/>
      <c r="Q693" s="432"/>
      <c r="R693" s="432"/>
      <c r="S693" s="432"/>
      <c r="T693" s="441"/>
    </row>
    <row r="694" spans="3:22">
      <c r="D694" s="63"/>
      <c r="E694" s="9" t="s">
        <v>610</v>
      </c>
      <c r="K694" s="79" t="e">
        <f>SDI</f>
        <v>#REF!</v>
      </c>
      <c r="N694" s="432" t="e">
        <f>N688*$K694</f>
        <v>#REF!</v>
      </c>
      <c r="O694" s="432"/>
      <c r="P694" s="432"/>
      <c r="Q694" s="432"/>
      <c r="R694" s="432"/>
      <c r="S694" s="432"/>
      <c r="T694" s="441"/>
    </row>
    <row r="695" spans="3:22">
      <c r="D695" s="63"/>
      <c r="E695" s="9" t="s">
        <v>611</v>
      </c>
      <c r="K695" s="80">
        <v>0</v>
      </c>
      <c r="N695" s="432">
        <f>N689*$K695</f>
        <v>0</v>
      </c>
      <c r="O695" s="432"/>
      <c r="P695" s="432"/>
      <c r="Q695" s="432"/>
      <c r="R695" s="432"/>
      <c r="S695" s="432"/>
      <c r="T695" s="441"/>
    </row>
    <row r="696" spans="3:22" ht="13">
      <c r="D696" s="68"/>
      <c r="E696" s="69" t="s">
        <v>607</v>
      </c>
      <c r="F696" s="69"/>
      <c r="G696" s="69"/>
      <c r="H696" s="69"/>
      <c r="I696" s="69"/>
      <c r="J696" s="69"/>
      <c r="K696" s="69"/>
      <c r="L696" s="69"/>
      <c r="M696" s="69"/>
      <c r="N696" s="435" t="e">
        <f>SUM(N690:O695)</f>
        <v>#REF!</v>
      </c>
      <c r="O696" s="435"/>
      <c r="P696" s="81"/>
      <c r="Q696" s="81"/>
      <c r="R696" s="81"/>
      <c r="S696" s="81"/>
      <c r="T696" s="70"/>
    </row>
    <row r="697" spans="3:22">
      <c r="D697" s="63"/>
      <c r="E697" s="9" t="s">
        <v>612</v>
      </c>
      <c r="K697" s="72" t="e">
        <f>DESIGN_CONT.</f>
        <v>#REF!</v>
      </c>
      <c r="N697" s="439" t="e">
        <f>N696*$K697</f>
        <v>#REF!</v>
      </c>
      <c r="O697" s="439"/>
      <c r="P697" s="439"/>
      <c r="Q697" s="439"/>
      <c r="R697" s="439"/>
      <c r="S697" s="439"/>
      <c r="T697" s="440"/>
    </row>
    <row r="698" spans="3:22">
      <c r="D698" s="63"/>
      <c r="E698" s="9" t="s">
        <v>613</v>
      </c>
      <c r="K698" s="72" t="e">
        <f>CONTINGENCY</f>
        <v>#REF!</v>
      </c>
      <c r="N698" s="442" t="e">
        <f>N696*$K698</f>
        <v>#REF!</v>
      </c>
      <c r="O698" s="442"/>
      <c r="P698" s="442"/>
      <c r="Q698" s="442"/>
      <c r="R698" s="442"/>
      <c r="S698" s="442"/>
      <c r="T698" s="443"/>
    </row>
    <row r="699" spans="3:22" ht="13">
      <c r="C699" s="1">
        <v>22</v>
      </c>
      <c r="D699" s="68"/>
      <c r="E699" s="69" t="s">
        <v>607</v>
      </c>
      <c r="F699" s="69"/>
      <c r="G699" s="69"/>
      <c r="H699" s="69"/>
      <c r="I699" s="69"/>
      <c r="J699" s="69"/>
      <c r="K699" s="69"/>
      <c r="L699" s="69"/>
      <c r="M699" s="69"/>
      <c r="N699" s="435" t="e">
        <f>SUM(N696:O698)</f>
        <v>#REF!</v>
      </c>
      <c r="O699" s="435"/>
      <c r="P699" s="81"/>
      <c r="Q699" s="81"/>
      <c r="R699" s="81"/>
      <c r="S699" s="81"/>
      <c r="T699" s="70"/>
      <c r="V699" s="76" t="s">
        <v>614</v>
      </c>
    </row>
    <row r="700" spans="3:22">
      <c r="D700" s="63"/>
      <c r="E700" s="9" t="s">
        <v>615</v>
      </c>
      <c r="K700" s="72" t="e">
        <f>FEE</f>
        <v>#REF!</v>
      </c>
      <c r="N700" s="436" t="e">
        <f>N699*$K700</f>
        <v>#REF!</v>
      </c>
      <c r="O700" s="436"/>
      <c r="P700" s="436"/>
      <c r="Q700" s="436"/>
      <c r="R700" s="436"/>
      <c r="S700" s="436"/>
      <c r="T700" s="437"/>
    </row>
    <row r="701" spans="3:22" ht="13">
      <c r="D701" s="68"/>
      <c r="E701" s="69" t="s">
        <v>607</v>
      </c>
      <c r="F701" s="69"/>
      <c r="G701" s="69"/>
      <c r="H701" s="69"/>
      <c r="I701" s="69"/>
      <c r="J701" s="69"/>
      <c r="K701" s="69"/>
      <c r="L701" s="69"/>
      <c r="M701" s="69"/>
      <c r="N701" s="435" t="e">
        <f>SUM(N699:O700)</f>
        <v>#REF!</v>
      </c>
      <c r="O701" s="435"/>
      <c r="P701" s="81"/>
      <c r="Q701" s="81"/>
      <c r="R701" s="81"/>
      <c r="S701" s="81"/>
      <c r="T701" s="70"/>
    </row>
    <row r="702" spans="3:22">
      <c r="D702" s="63"/>
      <c r="E702" s="9" t="s">
        <v>616</v>
      </c>
      <c r="K702" s="72">
        <v>0</v>
      </c>
      <c r="N702" s="436" t="e">
        <f>N701*$K702</f>
        <v>#REF!</v>
      </c>
      <c r="O702" s="436"/>
      <c r="P702" s="436"/>
      <c r="Q702" s="436"/>
      <c r="R702" s="436"/>
      <c r="S702" s="436"/>
      <c r="T702" s="437"/>
    </row>
    <row r="703" spans="3:22" ht="13">
      <c r="D703" s="73"/>
      <c r="E703" s="74" t="s">
        <v>18</v>
      </c>
      <c r="F703" s="74"/>
      <c r="G703" s="74"/>
      <c r="H703" s="74"/>
      <c r="I703" s="74"/>
      <c r="J703" s="74"/>
      <c r="K703" s="74"/>
      <c r="L703" s="74"/>
      <c r="M703" s="74"/>
      <c r="N703" s="438" t="e">
        <f>SUM(N701:O702)</f>
        <v>#REF!</v>
      </c>
      <c r="O703" s="438"/>
      <c r="P703" s="82"/>
      <c r="Q703" s="82"/>
      <c r="R703" s="82"/>
      <c r="S703" s="82"/>
      <c r="T703" s="75"/>
    </row>
    <row r="706" spans="4:20">
      <c r="D706" s="59" t="s">
        <v>572</v>
      </c>
      <c r="E706" s="60" t="s">
        <v>573</v>
      </c>
      <c r="F706" s="61"/>
      <c r="G706" s="61"/>
      <c r="H706" s="61"/>
      <c r="I706" s="61"/>
      <c r="J706" s="61"/>
      <c r="K706" s="61"/>
      <c r="L706" s="61"/>
      <c r="M706" s="61"/>
      <c r="N706" s="61"/>
      <c r="O706" s="61"/>
      <c r="P706" s="61"/>
      <c r="Q706" s="61"/>
      <c r="R706" s="61"/>
      <c r="S706" s="61"/>
      <c r="T706" s="62"/>
    </row>
    <row r="707" spans="4:20">
      <c r="D707" s="63" t="e">
        <f>#REF!</f>
        <v>#REF!</v>
      </c>
      <c r="E707" t="e">
        <f>#REF!</f>
        <v>#REF!</v>
      </c>
      <c r="T707" s="64"/>
    </row>
    <row r="708" spans="4:20">
      <c r="D708" s="65"/>
      <c r="E708" s="66" t="s">
        <v>600</v>
      </c>
      <c r="F708" s="66" t="s">
        <v>601</v>
      </c>
      <c r="G708" s="45"/>
      <c r="H708" s="45"/>
      <c r="I708" s="45"/>
      <c r="J708" s="45"/>
      <c r="K708" s="374" t="s">
        <v>602</v>
      </c>
      <c r="L708" s="374" t="s">
        <v>603</v>
      </c>
      <c r="M708" s="374" t="s">
        <v>604</v>
      </c>
      <c r="N708" s="444" t="s">
        <v>605</v>
      </c>
      <c r="O708" s="444"/>
      <c r="P708" s="444" t="s">
        <v>606</v>
      </c>
      <c r="Q708" s="444"/>
      <c r="R708" s="444"/>
      <c r="S708" s="444"/>
      <c r="T708" s="445"/>
    </row>
    <row r="709" spans="4:20">
      <c r="D709" s="63"/>
      <c r="M709" s="67"/>
      <c r="N709" s="446">
        <f t="shared" ref="N709" si="73">K709*M709</f>
        <v>0</v>
      </c>
      <c r="O709" s="446"/>
      <c r="P709" s="446"/>
      <c r="Q709" s="446"/>
      <c r="R709" s="446"/>
      <c r="S709" s="446"/>
      <c r="T709" s="447"/>
    </row>
    <row r="710" spans="4:20">
      <c r="D710" s="63"/>
      <c r="L710" s="9"/>
      <c r="M710" s="67"/>
      <c r="N710" s="432">
        <f>K710*M710</f>
        <v>0</v>
      </c>
      <c r="O710" s="432"/>
      <c r="P710" s="433"/>
      <c r="Q710" s="433"/>
      <c r="R710" s="433"/>
      <c r="S710" s="433"/>
      <c r="T710" s="434"/>
    </row>
    <row r="711" spans="4:20">
      <c r="D711" s="63"/>
      <c r="E711" s="9"/>
      <c r="L711" s="9"/>
      <c r="M711" s="67"/>
      <c r="N711" s="432">
        <f t="shared" ref="N711:N716" si="74">K711*M711</f>
        <v>0</v>
      </c>
      <c r="O711" s="432"/>
      <c r="P711" s="433"/>
      <c r="Q711" s="433"/>
      <c r="R711" s="433"/>
      <c r="S711" s="433"/>
      <c r="T711" s="434"/>
    </row>
    <row r="712" spans="4:20">
      <c r="D712" s="63"/>
      <c r="L712" s="9"/>
      <c r="M712" s="67"/>
      <c r="N712" s="432">
        <f t="shared" si="74"/>
        <v>0</v>
      </c>
      <c r="O712" s="432"/>
      <c r="P712" s="433"/>
      <c r="Q712" s="433"/>
      <c r="R712" s="433"/>
      <c r="S712" s="433"/>
      <c r="T712" s="434"/>
    </row>
    <row r="713" spans="4:20">
      <c r="D713" s="63"/>
      <c r="L713" s="9"/>
      <c r="M713" s="67"/>
      <c r="N713" s="432">
        <f t="shared" si="74"/>
        <v>0</v>
      </c>
      <c r="O713" s="432"/>
      <c r="P713" s="433"/>
      <c r="Q713" s="433"/>
      <c r="R713" s="433"/>
      <c r="S713" s="433"/>
      <c r="T713" s="434"/>
    </row>
    <row r="714" spans="4:20">
      <c r="D714" s="63"/>
      <c r="L714" s="9"/>
      <c r="M714" s="67"/>
      <c r="N714" s="432">
        <f t="shared" si="74"/>
        <v>0</v>
      </c>
      <c r="O714" s="432"/>
      <c r="P714" s="433"/>
      <c r="Q714" s="433"/>
      <c r="R714" s="433"/>
      <c r="S714" s="433"/>
      <c r="T714" s="434"/>
    </row>
    <row r="715" spans="4:20">
      <c r="D715" s="63"/>
      <c r="M715" s="67"/>
      <c r="N715" s="432">
        <f t="shared" si="74"/>
        <v>0</v>
      </c>
      <c r="O715" s="432"/>
      <c r="P715" s="433"/>
      <c r="Q715" s="433"/>
      <c r="R715" s="433"/>
      <c r="S715" s="433"/>
      <c r="T715" s="434"/>
    </row>
    <row r="716" spans="4:20">
      <c r="D716" s="63"/>
      <c r="M716" s="67"/>
      <c r="N716" s="442">
        <f t="shared" si="74"/>
        <v>0</v>
      </c>
      <c r="O716" s="442"/>
      <c r="P716" s="442"/>
      <c r="Q716" s="442"/>
      <c r="R716" s="442"/>
      <c r="S716" s="442"/>
      <c r="T716" s="443"/>
    </row>
    <row r="717" spans="4:20" ht="13">
      <c r="D717" s="68"/>
      <c r="E717" s="69" t="s">
        <v>607</v>
      </c>
      <c r="F717" s="69"/>
      <c r="G717" s="69"/>
      <c r="H717" s="69"/>
      <c r="I717" s="69"/>
      <c r="J717" s="69"/>
      <c r="K717" s="69"/>
      <c r="L717" s="69"/>
      <c r="M717" s="69"/>
      <c r="N717" s="435">
        <f>SUM(N708:O716)</f>
        <v>0</v>
      </c>
      <c r="O717" s="435"/>
      <c r="P717" s="81"/>
      <c r="Q717" s="81"/>
      <c r="R717" s="81"/>
      <c r="S717" s="81"/>
      <c r="T717" s="70"/>
    </row>
    <row r="718" spans="4:20">
      <c r="D718" s="63"/>
      <c r="E718" s="9" t="s">
        <v>608</v>
      </c>
      <c r="N718" s="436"/>
      <c r="O718" s="436"/>
      <c r="P718" s="436"/>
      <c r="Q718" s="436"/>
      <c r="R718" s="436"/>
      <c r="S718" s="436"/>
      <c r="T718" s="437"/>
    </row>
    <row r="719" spans="4:20" ht="13">
      <c r="D719" s="68"/>
      <c r="E719" s="69" t="s">
        <v>607</v>
      </c>
      <c r="F719" s="69"/>
      <c r="G719" s="69"/>
      <c r="H719" s="69"/>
      <c r="I719" s="69"/>
      <c r="J719" s="69"/>
      <c r="K719" s="69"/>
      <c r="L719" s="69"/>
      <c r="M719" s="69"/>
      <c r="N719" s="435">
        <f>SUM(N717:O718)</f>
        <v>0</v>
      </c>
      <c r="O719" s="435"/>
      <c r="P719" s="81"/>
      <c r="Q719" s="81"/>
      <c r="R719" s="81"/>
      <c r="S719" s="81"/>
      <c r="T719" s="70"/>
    </row>
    <row r="720" spans="4:20">
      <c r="D720" s="63"/>
      <c r="E720" s="9" t="s">
        <v>123</v>
      </c>
      <c r="K720" s="71" t="e">
        <f>GL</f>
        <v>#REF!</v>
      </c>
      <c r="N720" s="432" t="e">
        <f>$W728*$K720</f>
        <v>#REF!</v>
      </c>
      <c r="O720" s="432"/>
      <c r="P720" s="439"/>
      <c r="Q720" s="439"/>
      <c r="R720" s="439"/>
      <c r="S720" s="439"/>
      <c r="T720" s="440"/>
    </row>
    <row r="721" spans="3:22">
      <c r="D721" s="63"/>
      <c r="E721" s="9" t="s">
        <v>124</v>
      </c>
      <c r="K721" s="78" t="e">
        <f>BR</f>
        <v>#REF!</v>
      </c>
      <c r="N721" s="432" t="e">
        <f>$W728*$K721</f>
        <v>#REF!</v>
      </c>
      <c r="O721" s="432"/>
      <c r="P721" s="432"/>
      <c r="Q721" s="432"/>
      <c r="R721" s="432"/>
      <c r="S721" s="432"/>
      <c r="T721" s="441"/>
    </row>
    <row r="722" spans="3:22">
      <c r="D722" s="63"/>
      <c r="E722" s="9" t="s">
        <v>609</v>
      </c>
      <c r="K722" s="78" t="e">
        <f>PERMIT</f>
        <v>#REF!</v>
      </c>
      <c r="N722" s="432" t="e">
        <f>$W728*$K722</f>
        <v>#REF!</v>
      </c>
      <c r="O722" s="432"/>
      <c r="P722" s="432"/>
      <c r="Q722" s="432"/>
      <c r="R722" s="432"/>
      <c r="S722" s="432"/>
      <c r="T722" s="441"/>
    </row>
    <row r="723" spans="3:22">
      <c r="D723" s="63"/>
      <c r="E723" s="9" t="s">
        <v>610</v>
      </c>
      <c r="K723" s="79" t="e">
        <f>SDI</f>
        <v>#REF!</v>
      </c>
      <c r="N723" s="432" t="e">
        <f>N717*$K723</f>
        <v>#REF!</v>
      </c>
      <c r="O723" s="432"/>
      <c r="P723" s="432"/>
      <c r="Q723" s="432"/>
      <c r="R723" s="432"/>
      <c r="S723" s="432"/>
      <c r="T723" s="441"/>
    </row>
    <row r="724" spans="3:22">
      <c r="D724" s="63"/>
      <c r="E724" s="9" t="s">
        <v>611</v>
      </c>
      <c r="K724" s="80">
        <v>0</v>
      </c>
      <c r="N724" s="432">
        <f>N718*$K724</f>
        <v>0</v>
      </c>
      <c r="O724" s="432"/>
      <c r="P724" s="432"/>
      <c r="Q724" s="432"/>
      <c r="R724" s="432"/>
      <c r="S724" s="432"/>
      <c r="T724" s="441"/>
    </row>
    <row r="725" spans="3:22" ht="13">
      <c r="D725" s="68"/>
      <c r="E725" s="69" t="s">
        <v>607</v>
      </c>
      <c r="F725" s="69"/>
      <c r="G725" s="69"/>
      <c r="H725" s="69"/>
      <c r="I725" s="69"/>
      <c r="J725" s="69"/>
      <c r="K725" s="69"/>
      <c r="L725" s="69"/>
      <c r="M725" s="69"/>
      <c r="N725" s="435" t="e">
        <f>SUM(N719:O724)</f>
        <v>#REF!</v>
      </c>
      <c r="O725" s="435"/>
      <c r="P725" s="81"/>
      <c r="Q725" s="81"/>
      <c r="R725" s="81"/>
      <c r="S725" s="81"/>
      <c r="T725" s="70"/>
    </row>
    <row r="726" spans="3:22">
      <c r="D726" s="63"/>
      <c r="E726" s="9" t="s">
        <v>612</v>
      </c>
      <c r="K726" s="72" t="e">
        <f>DESIGN_CONT.</f>
        <v>#REF!</v>
      </c>
      <c r="N726" s="439" t="e">
        <f>N725*$K726</f>
        <v>#REF!</v>
      </c>
      <c r="O726" s="439"/>
      <c r="P726" s="439"/>
      <c r="Q726" s="439"/>
      <c r="R726" s="439"/>
      <c r="S726" s="439"/>
      <c r="T726" s="440"/>
    </row>
    <row r="727" spans="3:22">
      <c r="D727" s="63"/>
      <c r="E727" s="9" t="s">
        <v>613</v>
      </c>
      <c r="K727" s="72" t="e">
        <f>CONTINGENCY</f>
        <v>#REF!</v>
      </c>
      <c r="N727" s="442" t="e">
        <f>N725*$K727</f>
        <v>#REF!</v>
      </c>
      <c r="O727" s="442"/>
      <c r="P727" s="442"/>
      <c r="Q727" s="442"/>
      <c r="R727" s="442"/>
      <c r="S727" s="442"/>
      <c r="T727" s="443"/>
    </row>
    <row r="728" spans="3:22" ht="13">
      <c r="C728" s="1">
        <v>23</v>
      </c>
      <c r="D728" s="68"/>
      <c r="E728" s="69" t="s">
        <v>607</v>
      </c>
      <c r="F728" s="69"/>
      <c r="G728" s="69"/>
      <c r="H728" s="69"/>
      <c r="I728" s="69"/>
      <c r="J728" s="69"/>
      <c r="K728" s="69"/>
      <c r="L728" s="69"/>
      <c r="M728" s="69"/>
      <c r="N728" s="435" t="e">
        <f>SUM(N725:O727)</f>
        <v>#REF!</v>
      </c>
      <c r="O728" s="435"/>
      <c r="P728" s="81"/>
      <c r="Q728" s="81"/>
      <c r="R728" s="81"/>
      <c r="S728" s="81"/>
      <c r="T728" s="70"/>
      <c r="V728" s="76" t="s">
        <v>614</v>
      </c>
    </row>
    <row r="729" spans="3:22">
      <c r="D729" s="63"/>
      <c r="E729" s="9" t="s">
        <v>615</v>
      </c>
      <c r="K729" s="72" t="e">
        <f>FEE</f>
        <v>#REF!</v>
      </c>
      <c r="N729" s="436" t="e">
        <f>N728*$K729</f>
        <v>#REF!</v>
      </c>
      <c r="O729" s="436"/>
      <c r="P729" s="436"/>
      <c r="Q729" s="436"/>
      <c r="R729" s="436"/>
      <c r="S729" s="436"/>
      <c r="T729" s="437"/>
    </row>
    <row r="730" spans="3:22" ht="13">
      <c r="D730" s="68"/>
      <c r="E730" s="69" t="s">
        <v>607</v>
      </c>
      <c r="F730" s="69"/>
      <c r="G730" s="69"/>
      <c r="H730" s="69"/>
      <c r="I730" s="69"/>
      <c r="J730" s="69"/>
      <c r="K730" s="69"/>
      <c r="L730" s="69"/>
      <c r="M730" s="69"/>
      <c r="N730" s="435" t="e">
        <f>SUM(N728:O729)</f>
        <v>#REF!</v>
      </c>
      <c r="O730" s="435"/>
      <c r="P730" s="81"/>
      <c r="Q730" s="81"/>
      <c r="R730" s="81"/>
      <c r="S730" s="81"/>
      <c r="T730" s="70"/>
    </row>
    <row r="731" spans="3:22">
      <c r="D731" s="63"/>
      <c r="E731" s="9" t="s">
        <v>616</v>
      </c>
      <c r="K731" s="72">
        <v>0</v>
      </c>
      <c r="N731" s="436" t="e">
        <f>N730*$K731</f>
        <v>#REF!</v>
      </c>
      <c r="O731" s="436"/>
      <c r="P731" s="436"/>
      <c r="Q731" s="436"/>
      <c r="R731" s="436"/>
      <c r="S731" s="436"/>
      <c r="T731" s="437"/>
    </row>
    <row r="732" spans="3:22" ht="13">
      <c r="D732" s="73"/>
      <c r="E732" s="74" t="s">
        <v>18</v>
      </c>
      <c r="F732" s="74"/>
      <c r="G732" s="74"/>
      <c r="H732" s="74"/>
      <c r="I732" s="74"/>
      <c r="J732" s="74"/>
      <c r="K732" s="74"/>
      <c r="L732" s="74"/>
      <c r="M732" s="74"/>
      <c r="N732" s="438" t="e">
        <f>SUM(N730:O731)</f>
        <v>#REF!</v>
      </c>
      <c r="O732" s="438"/>
      <c r="P732" s="82"/>
      <c r="Q732" s="82"/>
      <c r="R732" s="82"/>
      <c r="S732" s="82"/>
      <c r="T732" s="75"/>
    </row>
    <row r="735" spans="3:22">
      <c r="D735" s="59" t="s">
        <v>572</v>
      </c>
      <c r="E735" s="60" t="s">
        <v>573</v>
      </c>
      <c r="F735" s="61"/>
      <c r="G735" s="61"/>
      <c r="H735" s="61"/>
      <c r="I735" s="61"/>
      <c r="J735" s="61"/>
      <c r="K735" s="61"/>
      <c r="L735" s="61"/>
      <c r="M735" s="61"/>
      <c r="N735" s="61"/>
      <c r="O735" s="61"/>
      <c r="P735" s="61"/>
      <c r="Q735" s="61"/>
      <c r="R735" s="61"/>
      <c r="S735" s="61"/>
      <c r="T735" s="62"/>
    </row>
    <row r="736" spans="3:22">
      <c r="D736" s="63" t="e">
        <f>#REF!</f>
        <v>#REF!</v>
      </c>
      <c r="E736" t="e">
        <f>#REF!</f>
        <v>#REF!</v>
      </c>
      <c r="T736" s="64"/>
    </row>
    <row r="737" spans="4:20">
      <c r="D737" s="65"/>
      <c r="E737" s="66" t="s">
        <v>600</v>
      </c>
      <c r="F737" s="66" t="s">
        <v>601</v>
      </c>
      <c r="G737" s="45"/>
      <c r="H737" s="45"/>
      <c r="I737" s="45"/>
      <c r="J737" s="45"/>
      <c r="K737" s="374" t="s">
        <v>602</v>
      </c>
      <c r="L737" s="374" t="s">
        <v>603</v>
      </c>
      <c r="M737" s="374" t="s">
        <v>604</v>
      </c>
      <c r="N737" s="444" t="s">
        <v>605</v>
      </c>
      <c r="O737" s="444"/>
      <c r="P737" s="444" t="s">
        <v>606</v>
      </c>
      <c r="Q737" s="444"/>
      <c r="R737" s="444"/>
      <c r="S737" s="444"/>
      <c r="T737" s="445"/>
    </row>
    <row r="738" spans="4:20">
      <c r="D738" s="63"/>
      <c r="M738" s="67"/>
      <c r="N738" s="446">
        <f t="shared" ref="N738" si="75">K738*M738</f>
        <v>0</v>
      </c>
      <c r="O738" s="446"/>
      <c r="P738" s="446"/>
      <c r="Q738" s="446"/>
      <c r="R738" s="446"/>
      <c r="S738" s="446"/>
      <c r="T738" s="447"/>
    </row>
    <row r="739" spans="4:20">
      <c r="D739" s="63"/>
      <c r="L739" s="9"/>
      <c r="M739" s="67"/>
      <c r="N739" s="432">
        <f>K739*M739</f>
        <v>0</v>
      </c>
      <c r="O739" s="432"/>
      <c r="P739" s="433"/>
      <c r="Q739" s="433"/>
      <c r="R739" s="433"/>
      <c r="S739" s="433"/>
      <c r="T739" s="434"/>
    </row>
    <row r="740" spans="4:20">
      <c r="D740" s="63"/>
      <c r="L740" s="9"/>
      <c r="M740" s="67"/>
      <c r="N740" s="432">
        <f t="shared" ref="N740:N744" si="76">K740*M740</f>
        <v>0</v>
      </c>
      <c r="O740" s="432"/>
      <c r="P740" s="433"/>
      <c r="Q740" s="433"/>
      <c r="R740" s="433"/>
      <c r="S740" s="433"/>
      <c r="T740" s="434"/>
    </row>
    <row r="741" spans="4:20">
      <c r="D741" s="63"/>
      <c r="L741" s="9"/>
      <c r="M741" s="67"/>
      <c r="N741" s="432">
        <f t="shared" si="76"/>
        <v>0</v>
      </c>
      <c r="O741" s="432"/>
      <c r="P741" s="433"/>
      <c r="Q741" s="433"/>
      <c r="R741" s="433"/>
      <c r="S741" s="433"/>
      <c r="T741" s="434"/>
    </row>
    <row r="742" spans="4:20">
      <c r="D742" s="63"/>
      <c r="L742" s="9"/>
      <c r="M742" s="67"/>
      <c r="N742" s="432">
        <f t="shared" si="76"/>
        <v>0</v>
      </c>
      <c r="O742" s="432"/>
      <c r="P742" s="433"/>
      <c r="Q742" s="433"/>
      <c r="R742" s="433"/>
      <c r="S742" s="433"/>
      <c r="T742" s="434"/>
    </row>
    <row r="743" spans="4:20">
      <c r="D743" s="63"/>
      <c r="M743" s="67"/>
      <c r="N743" s="432">
        <f t="shared" si="76"/>
        <v>0</v>
      </c>
      <c r="O743" s="432"/>
      <c r="P743" s="433"/>
      <c r="Q743" s="433"/>
      <c r="R743" s="433"/>
      <c r="S743" s="433"/>
      <c r="T743" s="434"/>
    </row>
    <row r="744" spans="4:20">
      <c r="D744" s="63"/>
      <c r="M744" s="67"/>
      <c r="N744" s="442">
        <f t="shared" si="76"/>
        <v>0</v>
      </c>
      <c r="O744" s="442"/>
      <c r="P744" s="442"/>
      <c r="Q744" s="442"/>
      <c r="R744" s="442"/>
      <c r="S744" s="442"/>
      <c r="T744" s="443"/>
    </row>
    <row r="745" spans="4:20" ht="13">
      <c r="D745" s="68"/>
      <c r="E745" s="69" t="s">
        <v>607</v>
      </c>
      <c r="F745" s="69"/>
      <c r="G745" s="69"/>
      <c r="H745" s="69"/>
      <c r="I745" s="69"/>
      <c r="J745" s="69"/>
      <c r="K745" s="69"/>
      <c r="L745" s="69"/>
      <c r="M745" s="69"/>
      <c r="N745" s="435">
        <f>SUM(N737:O744)</f>
        <v>0</v>
      </c>
      <c r="O745" s="435"/>
      <c r="P745" s="81"/>
      <c r="Q745" s="81"/>
      <c r="R745" s="81"/>
      <c r="S745" s="81"/>
      <c r="T745" s="70"/>
    </row>
    <row r="746" spans="4:20">
      <c r="D746" s="63"/>
      <c r="E746" s="9" t="s">
        <v>608</v>
      </c>
      <c r="N746" s="436"/>
      <c r="O746" s="436"/>
      <c r="P746" s="436"/>
      <c r="Q746" s="436"/>
      <c r="R746" s="436"/>
      <c r="S746" s="436"/>
      <c r="T746" s="437"/>
    </row>
    <row r="747" spans="4:20" ht="13">
      <c r="D747" s="68"/>
      <c r="E747" s="69" t="s">
        <v>607</v>
      </c>
      <c r="F747" s="69"/>
      <c r="G747" s="69"/>
      <c r="H747" s="69"/>
      <c r="I747" s="69"/>
      <c r="J747" s="69"/>
      <c r="K747" s="69"/>
      <c r="L747" s="69"/>
      <c r="M747" s="69"/>
      <c r="N747" s="435">
        <f>SUM(N745:O746)</f>
        <v>0</v>
      </c>
      <c r="O747" s="435"/>
      <c r="P747" s="81"/>
      <c r="Q747" s="81"/>
      <c r="R747" s="81"/>
      <c r="S747" s="81"/>
      <c r="T747" s="70"/>
    </row>
    <row r="748" spans="4:20">
      <c r="D748" s="63"/>
      <c r="E748" s="9" t="s">
        <v>123</v>
      </c>
      <c r="K748" s="71" t="e">
        <f>GL</f>
        <v>#REF!</v>
      </c>
      <c r="N748" s="432" t="e">
        <f>$W756*$K748</f>
        <v>#REF!</v>
      </c>
      <c r="O748" s="432"/>
      <c r="P748" s="439"/>
      <c r="Q748" s="439"/>
      <c r="R748" s="439"/>
      <c r="S748" s="439"/>
      <c r="T748" s="440"/>
    </row>
    <row r="749" spans="4:20">
      <c r="D749" s="63"/>
      <c r="E749" s="9" t="s">
        <v>124</v>
      </c>
      <c r="K749" s="78" t="e">
        <f>BR</f>
        <v>#REF!</v>
      </c>
      <c r="N749" s="432" t="e">
        <f>$W756*$K749</f>
        <v>#REF!</v>
      </c>
      <c r="O749" s="432"/>
      <c r="P749" s="432"/>
      <c r="Q749" s="432"/>
      <c r="R749" s="432"/>
      <c r="S749" s="432"/>
      <c r="T749" s="441"/>
    </row>
    <row r="750" spans="4:20">
      <c r="D750" s="63"/>
      <c r="E750" s="9" t="s">
        <v>609</v>
      </c>
      <c r="K750" s="78" t="e">
        <f>PERMIT</f>
        <v>#REF!</v>
      </c>
      <c r="N750" s="432" t="e">
        <f>$W756*$K750</f>
        <v>#REF!</v>
      </c>
      <c r="O750" s="432"/>
      <c r="P750" s="432"/>
      <c r="Q750" s="432"/>
      <c r="R750" s="432"/>
      <c r="S750" s="432"/>
      <c r="T750" s="441"/>
    </row>
    <row r="751" spans="4:20">
      <c r="D751" s="63"/>
      <c r="E751" s="9" t="s">
        <v>610</v>
      </c>
      <c r="K751" s="79" t="e">
        <f>SDI</f>
        <v>#REF!</v>
      </c>
      <c r="N751" s="432" t="e">
        <f>N745*$K751</f>
        <v>#REF!</v>
      </c>
      <c r="O751" s="432"/>
      <c r="P751" s="432"/>
      <c r="Q751" s="432"/>
      <c r="R751" s="432"/>
      <c r="S751" s="432"/>
      <c r="T751" s="441"/>
    </row>
    <row r="752" spans="4:20">
      <c r="D752" s="63"/>
      <c r="E752" s="9" t="s">
        <v>611</v>
      </c>
      <c r="K752" s="80">
        <v>0</v>
      </c>
      <c r="N752" s="432">
        <f>N746*$K752</f>
        <v>0</v>
      </c>
      <c r="O752" s="432"/>
      <c r="P752" s="432"/>
      <c r="Q752" s="432"/>
      <c r="R752" s="432"/>
      <c r="S752" s="432"/>
      <c r="T752" s="441"/>
    </row>
    <row r="753" spans="3:22" ht="13">
      <c r="D753" s="68"/>
      <c r="E753" s="69" t="s">
        <v>607</v>
      </c>
      <c r="F753" s="69"/>
      <c r="G753" s="69"/>
      <c r="H753" s="69"/>
      <c r="I753" s="69"/>
      <c r="J753" s="69"/>
      <c r="K753" s="69"/>
      <c r="L753" s="69"/>
      <c r="M753" s="69"/>
      <c r="N753" s="435" t="e">
        <f>SUM(N747:O752)</f>
        <v>#REF!</v>
      </c>
      <c r="O753" s="435"/>
      <c r="P753" s="81"/>
      <c r="Q753" s="81"/>
      <c r="R753" s="81"/>
      <c r="S753" s="81"/>
      <c r="T753" s="70"/>
    </row>
    <row r="754" spans="3:22">
      <c r="D754" s="63"/>
      <c r="E754" s="9" t="s">
        <v>612</v>
      </c>
      <c r="K754" s="72" t="e">
        <f>DESIGN_CONT.</f>
        <v>#REF!</v>
      </c>
      <c r="N754" s="439" t="e">
        <f>N753*$K754</f>
        <v>#REF!</v>
      </c>
      <c r="O754" s="439"/>
      <c r="P754" s="439"/>
      <c r="Q754" s="439"/>
      <c r="R754" s="439"/>
      <c r="S754" s="439"/>
      <c r="T754" s="440"/>
    </row>
    <row r="755" spans="3:22">
      <c r="D755" s="63"/>
      <c r="E755" s="9" t="s">
        <v>613</v>
      </c>
      <c r="K755" s="72" t="e">
        <f>CONTINGENCY</f>
        <v>#REF!</v>
      </c>
      <c r="N755" s="442" t="e">
        <f>N753*$K755</f>
        <v>#REF!</v>
      </c>
      <c r="O755" s="442"/>
      <c r="P755" s="442"/>
      <c r="Q755" s="442"/>
      <c r="R755" s="442"/>
      <c r="S755" s="442"/>
      <c r="T755" s="443"/>
    </row>
    <row r="756" spans="3:22" ht="13">
      <c r="C756" s="1">
        <v>24</v>
      </c>
      <c r="D756" s="68"/>
      <c r="E756" s="69" t="s">
        <v>607</v>
      </c>
      <c r="F756" s="69"/>
      <c r="G756" s="69"/>
      <c r="H756" s="69"/>
      <c r="I756" s="69"/>
      <c r="J756" s="69"/>
      <c r="K756" s="69"/>
      <c r="L756" s="69"/>
      <c r="M756" s="69"/>
      <c r="N756" s="435" t="e">
        <f>SUM(N753:O755)</f>
        <v>#REF!</v>
      </c>
      <c r="O756" s="435"/>
      <c r="P756" s="81"/>
      <c r="Q756" s="81"/>
      <c r="R756" s="81"/>
      <c r="S756" s="81"/>
      <c r="T756" s="70"/>
      <c r="V756" s="76" t="s">
        <v>614</v>
      </c>
    </row>
    <row r="757" spans="3:22">
      <c r="C757" s="1"/>
      <c r="D757" s="63"/>
      <c r="E757" s="9" t="s">
        <v>615</v>
      </c>
      <c r="K757" s="72" t="e">
        <f>FEE</f>
        <v>#REF!</v>
      </c>
      <c r="N757" s="436" t="e">
        <f>N756*$K757</f>
        <v>#REF!</v>
      </c>
      <c r="O757" s="436"/>
      <c r="P757" s="436"/>
      <c r="Q757" s="436"/>
      <c r="R757" s="436"/>
      <c r="S757" s="436"/>
      <c r="T757" s="437"/>
    </row>
    <row r="758" spans="3:22" ht="13">
      <c r="C758" s="1"/>
      <c r="D758" s="68"/>
      <c r="E758" s="69" t="s">
        <v>607</v>
      </c>
      <c r="F758" s="69"/>
      <c r="G758" s="69"/>
      <c r="H758" s="69"/>
      <c r="I758" s="69"/>
      <c r="J758" s="69"/>
      <c r="K758" s="69"/>
      <c r="L758" s="69"/>
      <c r="M758" s="69"/>
      <c r="N758" s="435" t="e">
        <f>SUM(N756:O757)</f>
        <v>#REF!</v>
      </c>
      <c r="O758" s="435"/>
      <c r="P758" s="81"/>
      <c r="Q758" s="81"/>
      <c r="R758" s="81"/>
      <c r="S758" s="81"/>
      <c r="T758" s="70"/>
    </row>
    <row r="759" spans="3:22">
      <c r="D759" s="63"/>
      <c r="E759" s="9" t="s">
        <v>616</v>
      </c>
      <c r="K759" s="72">
        <v>0</v>
      </c>
      <c r="N759" s="436" t="e">
        <f>N758*$K759</f>
        <v>#REF!</v>
      </c>
      <c r="O759" s="436"/>
      <c r="P759" s="436"/>
      <c r="Q759" s="436"/>
      <c r="R759" s="436"/>
      <c r="S759" s="436"/>
      <c r="T759" s="437"/>
    </row>
    <row r="760" spans="3:22" ht="13">
      <c r="D760" s="73"/>
      <c r="E760" s="74" t="s">
        <v>18</v>
      </c>
      <c r="F760" s="74"/>
      <c r="G760" s="74"/>
      <c r="H760" s="74"/>
      <c r="I760" s="74"/>
      <c r="J760" s="74"/>
      <c r="K760" s="74"/>
      <c r="L760" s="74"/>
      <c r="M760" s="74"/>
      <c r="N760" s="438" t="e">
        <f>SUM(N758:O759)</f>
        <v>#REF!</v>
      </c>
      <c r="O760" s="438"/>
      <c r="P760" s="82"/>
      <c r="Q760" s="82"/>
      <c r="R760" s="82"/>
      <c r="S760" s="82"/>
      <c r="T760" s="75"/>
    </row>
    <row r="763" spans="3:22">
      <c r="D763" s="59" t="s">
        <v>572</v>
      </c>
      <c r="E763" s="60" t="s">
        <v>573</v>
      </c>
      <c r="F763" s="61"/>
      <c r="G763" s="61"/>
      <c r="H763" s="61"/>
      <c r="I763" s="61"/>
      <c r="J763" s="61"/>
      <c r="K763" s="61"/>
      <c r="L763" s="61"/>
      <c r="M763" s="61"/>
      <c r="N763" s="61"/>
      <c r="O763" s="61"/>
      <c r="P763" s="61"/>
      <c r="Q763" s="61"/>
      <c r="R763" s="61"/>
      <c r="S763" s="61"/>
      <c r="T763" s="62"/>
    </row>
    <row r="764" spans="3:22">
      <c r="D764" s="63" t="e">
        <f>#REF!</f>
        <v>#REF!</v>
      </c>
      <c r="E764" t="e">
        <f>#REF!</f>
        <v>#REF!</v>
      </c>
      <c r="T764" s="64"/>
    </row>
    <row r="765" spans="3:22">
      <c r="D765" s="65"/>
      <c r="E765" s="66" t="s">
        <v>600</v>
      </c>
      <c r="F765" s="66" t="s">
        <v>601</v>
      </c>
      <c r="G765" s="45"/>
      <c r="H765" s="45"/>
      <c r="I765" s="45"/>
      <c r="J765" s="45"/>
      <c r="K765" s="374" t="s">
        <v>602</v>
      </c>
      <c r="L765" s="374" t="s">
        <v>603</v>
      </c>
      <c r="M765" s="374" t="s">
        <v>604</v>
      </c>
      <c r="N765" s="444" t="s">
        <v>605</v>
      </c>
      <c r="O765" s="444"/>
      <c r="P765" s="444" t="s">
        <v>606</v>
      </c>
      <c r="Q765" s="444"/>
      <c r="R765" s="444"/>
      <c r="S765" s="444"/>
      <c r="T765" s="445"/>
    </row>
    <row r="766" spans="3:22">
      <c r="D766" s="63"/>
      <c r="M766" s="67"/>
      <c r="N766" s="446">
        <f t="shared" ref="N766" si="77">K766*M766</f>
        <v>0</v>
      </c>
      <c r="O766" s="446"/>
      <c r="P766" s="446"/>
      <c r="Q766" s="446"/>
      <c r="R766" s="446"/>
      <c r="S766" s="446"/>
      <c r="T766" s="447"/>
    </row>
    <row r="767" spans="3:22">
      <c r="D767" s="63"/>
      <c r="L767" s="9"/>
      <c r="M767" s="67"/>
      <c r="N767" s="432">
        <f>K767*M767</f>
        <v>0</v>
      </c>
      <c r="O767" s="432"/>
      <c r="P767" s="433"/>
      <c r="Q767" s="433"/>
      <c r="R767" s="433"/>
      <c r="S767" s="433"/>
      <c r="T767" s="434"/>
    </row>
    <row r="768" spans="3:22">
      <c r="D768" s="63"/>
      <c r="E768" s="9"/>
      <c r="L768" s="9"/>
      <c r="M768" s="67"/>
      <c r="N768" s="432">
        <f t="shared" ref="N768:N773" si="78">K768*M768</f>
        <v>0</v>
      </c>
      <c r="O768" s="432"/>
      <c r="P768" s="433"/>
      <c r="Q768" s="433"/>
      <c r="R768" s="433"/>
      <c r="S768" s="433"/>
      <c r="T768" s="434"/>
    </row>
    <row r="769" spans="4:20">
      <c r="D769" s="63"/>
      <c r="L769" s="9"/>
      <c r="M769" s="67"/>
      <c r="N769" s="432">
        <f t="shared" si="78"/>
        <v>0</v>
      </c>
      <c r="O769" s="432"/>
      <c r="P769" s="433"/>
      <c r="Q769" s="433"/>
      <c r="R769" s="433"/>
      <c r="S769" s="433"/>
      <c r="T769" s="434"/>
    </row>
    <row r="770" spans="4:20">
      <c r="D770" s="63"/>
      <c r="L770" s="9"/>
      <c r="M770" s="67"/>
      <c r="N770" s="432">
        <f t="shared" si="78"/>
        <v>0</v>
      </c>
      <c r="O770" s="432"/>
      <c r="P770" s="433"/>
      <c r="Q770" s="433"/>
      <c r="R770" s="433"/>
      <c r="S770" s="433"/>
      <c r="T770" s="434"/>
    </row>
    <row r="771" spans="4:20">
      <c r="D771" s="63"/>
      <c r="L771" s="9"/>
      <c r="M771" s="67"/>
      <c r="N771" s="432">
        <f t="shared" si="78"/>
        <v>0</v>
      </c>
      <c r="O771" s="432"/>
      <c r="P771" s="433"/>
      <c r="Q771" s="433"/>
      <c r="R771" s="433"/>
      <c r="S771" s="433"/>
      <c r="T771" s="434"/>
    </row>
    <row r="772" spans="4:20">
      <c r="D772" s="63"/>
      <c r="M772" s="67"/>
      <c r="N772" s="432">
        <f t="shared" si="78"/>
        <v>0</v>
      </c>
      <c r="O772" s="432"/>
      <c r="P772" s="433"/>
      <c r="Q772" s="433"/>
      <c r="R772" s="433"/>
      <c r="S772" s="433"/>
      <c r="T772" s="434"/>
    </row>
    <row r="773" spans="4:20">
      <c r="D773" s="63"/>
      <c r="M773" s="67"/>
      <c r="N773" s="442">
        <f t="shared" si="78"/>
        <v>0</v>
      </c>
      <c r="O773" s="442"/>
      <c r="P773" s="442"/>
      <c r="Q773" s="442"/>
      <c r="R773" s="442"/>
      <c r="S773" s="442"/>
      <c r="T773" s="443"/>
    </row>
    <row r="774" spans="4:20" ht="13">
      <c r="D774" s="68"/>
      <c r="E774" s="69" t="s">
        <v>607</v>
      </c>
      <c r="F774" s="69"/>
      <c r="G774" s="69"/>
      <c r="H774" s="69"/>
      <c r="I774" s="69"/>
      <c r="J774" s="69"/>
      <c r="K774" s="69"/>
      <c r="L774" s="69"/>
      <c r="M774" s="69"/>
      <c r="N774" s="435">
        <f>SUM(N765:O773)</f>
        <v>0</v>
      </c>
      <c r="O774" s="435"/>
      <c r="P774" s="81"/>
      <c r="Q774" s="81"/>
      <c r="R774" s="81"/>
      <c r="S774" s="81"/>
      <c r="T774" s="70"/>
    </row>
    <row r="775" spans="4:20">
      <c r="D775" s="63"/>
      <c r="E775" s="9" t="s">
        <v>608</v>
      </c>
      <c r="N775" s="436"/>
      <c r="O775" s="436"/>
      <c r="P775" s="436"/>
      <c r="Q775" s="436"/>
      <c r="R775" s="436"/>
      <c r="S775" s="436"/>
      <c r="T775" s="437"/>
    </row>
    <row r="776" spans="4:20" ht="13">
      <c r="D776" s="68"/>
      <c r="E776" s="69" t="s">
        <v>607</v>
      </c>
      <c r="F776" s="69"/>
      <c r="G776" s="69"/>
      <c r="H776" s="69"/>
      <c r="I776" s="69"/>
      <c r="J776" s="69"/>
      <c r="K776" s="69"/>
      <c r="L776" s="69"/>
      <c r="M776" s="69"/>
      <c r="N776" s="435">
        <f>SUM(N774:O775)</f>
        <v>0</v>
      </c>
      <c r="O776" s="435"/>
      <c r="P776" s="81"/>
      <c r="Q776" s="81"/>
      <c r="R776" s="81"/>
      <c r="S776" s="81"/>
      <c r="T776" s="70"/>
    </row>
    <row r="777" spans="4:20">
      <c r="D777" s="63"/>
      <c r="E777" s="9" t="s">
        <v>123</v>
      </c>
      <c r="K777" s="71" t="e">
        <f>GL</f>
        <v>#REF!</v>
      </c>
      <c r="N777" s="432" t="e">
        <f>$W785*$K777</f>
        <v>#REF!</v>
      </c>
      <c r="O777" s="432"/>
      <c r="P777" s="439"/>
      <c r="Q777" s="439"/>
      <c r="R777" s="439"/>
      <c r="S777" s="439"/>
      <c r="T777" s="440"/>
    </row>
    <row r="778" spans="4:20">
      <c r="D778" s="63"/>
      <c r="E778" s="9" t="s">
        <v>124</v>
      </c>
      <c r="K778" s="78" t="e">
        <f>BR</f>
        <v>#REF!</v>
      </c>
      <c r="N778" s="432" t="e">
        <f>$W785*$K778</f>
        <v>#REF!</v>
      </c>
      <c r="O778" s="432"/>
      <c r="P778" s="432"/>
      <c r="Q778" s="432"/>
      <c r="R778" s="432"/>
      <c r="S778" s="432"/>
      <c r="T778" s="441"/>
    </row>
    <row r="779" spans="4:20">
      <c r="D779" s="63"/>
      <c r="E779" s="9" t="s">
        <v>609</v>
      </c>
      <c r="K779" s="78" t="e">
        <f>PERMIT</f>
        <v>#REF!</v>
      </c>
      <c r="N779" s="432" t="e">
        <f>$W785*$K779</f>
        <v>#REF!</v>
      </c>
      <c r="O779" s="432"/>
      <c r="P779" s="432"/>
      <c r="Q779" s="432"/>
      <c r="R779" s="432"/>
      <c r="S779" s="432"/>
      <c r="T779" s="441"/>
    </row>
    <row r="780" spans="4:20">
      <c r="D780" s="63"/>
      <c r="E780" s="9" t="s">
        <v>610</v>
      </c>
      <c r="K780" s="79" t="e">
        <f>SDI</f>
        <v>#REF!</v>
      </c>
      <c r="N780" s="432" t="e">
        <f>N774*$K780</f>
        <v>#REF!</v>
      </c>
      <c r="O780" s="432"/>
      <c r="P780" s="432"/>
      <c r="Q780" s="432"/>
      <c r="R780" s="432"/>
      <c r="S780" s="432"/>
      <c r="T780" s="441"/>
    </row>
    <row r="781" spans="4:20">
      <c r="D781" s="63"/>
      <c r="E781" s="9" t="s">
        <v>611</v>
      </c>
      <c r="K781" s="80">
        <v>0</v>
      </c>
      <c r="N781" s="432">
        <f>N775*$K781</f>
        <v>0</v>
      </c>
      <c r="O781" s="432"/>
      <c r="P781" s="432"/>
      <c r="Q781" s="432"/>
      <c r="R781" s="432"/>
      <c r="S781" s="432"/>
      <c r="T781" s="441"/>
    </row>
    <row r="782" spans="4:20" ht="13">
      <c r="D782" s="68"/>
      <c r="E782" s="69" t="s">
        <v>607</v>
      </c>
      <c r="F782" s="69"/>
      <c r="G782" s="69"/>
      <c r="H782" s="69"/>
      <c r="I782" s="69"/>
      <c r="J782" s="69"/>
      <c r="K782" s="69"/>
      <c r="L782" s="69"/>
      <c r="M782" s="69"/>
      <c r="N782" s="435" t="e">
        <f>SUM(N776:O781)</f>
        <v>#REF!</v>
      </c>
      <c r="O782" s="435"/>
      <c r="P782" s="81"/>
      <c r="Q782" s="81"/>
      <c r="R782" s="81"/>
      <c r="S782" s="81"/>
      <c r="T782" s="70"/>
    </row>
    <row r="783" spans="4:20">
      <c r="D783" s="63"/>
      <c r="E783" s="9" t="s">
        <v>612</v>
      </c>
      <c r="K783" s="72" t="e">
        <f>DESIGN_CONT.</f>
        <v>#REF!</v>
      </c>
      <c r="N783" s="439" t="e">
        <f>N782*$K783</f>
        <v>#REF!</v>
      </c>
      <c r="O783" s="439"/>
      <c r="P783" s="439"/>
      <c r="Q783" s="439"/>
      <c r="R783" s="439"/>
      <c r="S783" s="439"/>
      <c r="T783" s="440"/>
    </row>
    <row r="784" spans="4:20">
      <c r="D784" s="63"/>
      <c r="E784" s="9" t="s">
        <v>613</v>
      </c>
      <c r="K784" s="72" t="e">
        <f>CONTINGENCY</f>
        <v>#REF!</v>
      </c>
      <c r="N784" s="442" t="e">
        <f>N782*$K784</f>
        <v>#REF!</v>
      </c>
      <c r="O784" s="442"/>
      <c r="P784" s="442"/>
      <c r="Q784" s="442"/>
      <c r="R784" s="442"/>
      <c r="S784" s="442"/>
      <c r="T784" s="443"/>
    </row>
    <row r="785" spans="3:22" ht="13">
      <c r="C785" s="1">
        <v>25</v>
      </c>
      <c r="D785" s="68"/>
      <c r="E785" s="69" t="s">
        <v>607</v>
      </c>
      <c r="F785" s="69"/>
      <c r="G785" s="69"/>
      <c r="H785" s="69"/>
      <c r="I785" s="69"/>
      <c r="J785" s="69"/>
      <c r="K785" s="69"/>
      <c r="L785" s="69"/>
      <c r="M785" s="69"/>
      <c r="N785" s="435" t="e">
        <f>SUM(N782:O784)</f>
        <v>#REF!</v>
      </c>
      <c r="O785" s="435"/>
      <c r="P785" s="81"/>
      <c r="Q785" s="81"/>
      <c r="R785" s="81"/>
      <c r="S785" s="81"/>
      <c r="T785" s="70"/>
      <c r="V785" s="76" t="s">
        <v>614</v>
      </c>
    </row>
    <row r="786" spans="3:22">
      <c r="D786" s="63"/>
      <c r="E786" s="9" t="s">
        <v>615</v>
      </c>
      <c r="K786" s="72" t="e">
        <f>FEE</f>
        <v>#REF!</v>
      </c>
      <c r="N786" s="436" t="e">
        <f>N785*$K786</f>
        <v>#REF!</v>
      </c>
      <c r="O786" s="436"/>
      <c r="P786" s="436"/>
      <c r="Q786" s="436"/>
      <c r="R786" s="436"/>
      <c r="S786" s="436"/>
      <c r="T786" s="437"/>
    </row>
    <row r="787" spans="3:22" ht="13">
      <c r="D787" s="68"/>
      <c r="E787" s="69" t="s">
        <v>607</v>
      </c>
      <c r="F787" s="69"/>
      <c r="G787" s="69"/>
      <c r="H787" s="69"/>
      <c r="I787" s="69"/>
      <c r="J787" s="69"/>
      <c r="K787" s="69"/>
      <c r="L787" s="69"/>
      <c r="M787" s="69"/>
      <c r="N787" s="435" t="e">
        <f>SUM(N785:O786)</f>
        <v>#REF!</v>
      </c>
      <c r="O787" s="435"/>
      <c r="P787" s="81"/>
      <c r="Q787" s="81"/>
      <c r="R787" s="81"/>
      <c r="S787" s="81"/>
      <c r="T787" s="70"/>
    </row>
    <row r="788" spans="3:22">
      <c r="D788" s="63"/>
      <c r="E788" s="9" t="s">
        <v>616</v>
      </c>
      <c r="K788" s="72">
        <v>0</v>
      </c>
      <c r="N788" s="436" t="e">
        <f>N787*$K788</f>
        <v>#REF!</v>
      </c>
      <c r="O788" s="436"/>
      <c r="P788" s="436"/>
      <c r="Q788" s="436"/>
      <c r="R788" s="436"/>
      <c r="S788" s="436"/>
      <c r="T788" s="437"/>
    </row>
    <row r="789" spans="3:22" ht="13">
      <c r="D789" s="73"/>
      <c r="E789" s="74" t="s">
        <v>18</v>
      </c>
      <c r="F789" s="74"/>
      <c r="G789" s="74"/>
      <c r="H789" s="74"/>
      <c r="I789" s="74"/>
      <c r="J789" s="74"/>
      <c r="K789" s="74"/>
      <c r="L789" s="74"/>
      <c r="M789" s="74"/>
      <c r="N789" s="438" t="e">
        <f>SUM(N787:O788)</f>
        <v>#REF!</v>
      </c>
      <c r="O789" s="438"/>
      <c r="P789" s="82"/>
      <c r="Q789" s="82"/>
      <c r="R789" s="82"/>
      <c r="S789" s="82"/>
      <c r="T789" s="75"/>
    </row>
    <row r="792" spans="3:22">
      <c r="D792" s="59" t="s">
        <v>572</v>
      </c>
      <c r="E792" s="60" t="s">
        <v>573</v>
      </c>
      <c r="F792" s="61"/>
      <c r="G792" s="61"/>
      <c r="H792" s="61"/>
      <c r="I792" s="61"/>
      <c r="J792" s="61"/>
      <c r="K792" s="61"/>
      <c r="L792" s="61"/>
      <c r="M792" s="61"/>
      <c r="N792" s="61"/>
      <c r="O792" s="61"/>
      <c r="P792" s="61"/>
      <c r="Q792" s="61"/>
      <c r="R792" s="61"/>
      <c r="S792" s="61"/>
      <c r="T792" s="62"/>
    </row>
    <row r="793" spans="3:22">
      <c r="D793" s="63" t="e">
        <f>#REF!</f>
        <v>#REF!</v>
      </c>
      <c r="E793" t="e">
        <f>#REF!</f>
        <v>#REF!</v>
      </c>
      <c r="T793" s="64"/>
    </row>
    <row r="794" spans="3:22">
      <c r="D794" s="65"/>
      <c r="E794" s="66" t="s">
        <v>600</v>
      </c>
      <c r="F794" s="66" t="s">
        <v>601</v>
      </c>
      <c r="G794" s="45"/>
      <c r="H794" s="45"/>
      <c r="I794" s="45"/>
      <c r="J794" s="45"/>
      <c r="K794" s="374" t="s">
        <v>602</v>
      </c>
      <c r="L794" s="374" t="s">
        <v>603</v>
      </c>
      <c r="M794" s="374" t="s">
        <v>604</v>
      </c>
      <c r="N794" s="444" t="s">
        <v>605</v>
      </c>
      <c r="O794" s="444"/>
      <c r="P794" s="444" t="s">
        <v>606</v>
      </c>
      <c r="Q794" s="444"/>
      <c r="R794" s="444"/>
      <c r="S794" s="444"/>
      <c r="T794" s="445"/>
    </row>
    <row r="795" spans="3:22">
      <c r="D795" s="63"/>
      <c r="M795" s="67"/>
      <c r="N795" s="446">
        <f t="shared" ref="N795" si="79">K795*M795</f>
        <v>0</v>
      </c>
      <c r="O795" s="446"/>
      <c r="P795" s="446"/>
      <c r="Q795" s="446"/>
      <c r="R795" s="446"/>
      <c r="S795" s="446"/>
      <c r="T795" s="447"/>
    </row>
    <row r="796" spans="3:22">
      <c r="D796" s="63"/>
      <c r="L796" s="9"/>
      <c r="M796" s="67"/>
      <c r="N796" s="446">
        <f t="shared" ref="N796" si="80">K796*M796</f>
        <v>0</v>
      </c>
      <c r="O796" s="446"/>
      <c r="P796" s="433"/>
      <c r="Q796" s="433"/>
      <c r="R796" s="433"/>
      <c r="S796" s="433"/>
      <c r="T796" s="434"/>
    </row>
    <row r="797" spans="3:22">
      <c r="D797" s="63"/>
      <c r="E797" s="9"/>
      <c r="L797" s="9"/>
      <c r="M797" s="67"/>
      <c r="N797" s="432">
        <f>K797*M797</f>
        <v>0</v>
      </c>
      <c r="O797" s="432"/>
      <c r="P797" s="433"/>
      <c r="Q797" s="433"/>
      <c r="R797" s="433"/>
      <c r="S797" s="433"/>
      <c r="T797" s="434"/>
    </row>
    <row r="798" spans="3:22">
      <c r="D798" s="63"/>
      <c r="L798" s="9"/>
      <c r="M798" s="67"/>
      <c r="N798" s="432">
        <f t="shared" ref="N798:N802" si="81">K798*M798</f>
        <v>0</v>
      </c>
      <c r="O798" s="432"/>
      <c r="P798" s="433"/>
      <c r="Q798" s="433"/>
      <c r="R798" s="433"/>
      <c r="S798" s="433"/>
      <c r="T798" s="434"/>
    </row>
    <row r="799" spans="3:22">
      <c r="D799" s="63"/>
      <c r="L799" s="9"/>
      <c r="M799" s="67"/>
      <c r="N799" s="432">
        <f t="shared" si="81"/>
        <v>0</v>
      </c>
      <c r="O799" s="432"/>
      <c r="P799" s="433"/>
      <c r="Q799" s="433"/>
      <c r="R799" s="433"/>
      <c r="S799" s="433"/>
      <c r="T799" s="434"/>
    </row>
    <row r="800" spans="3:22">
      <c r="D800" s="63"/>
      <c r="L800" s="9"/>
      <c r="M800" s="67"/>
      <c r="N800" s="432">
        <f t="shared" si="81"/>
        <v>0</v>
      </c>
      <c r="O800" s="432"/>
      <c r="P800" s="433"/>
      <c r="Q800" s="433"/>
      <c r="R800" s="433"/>
      <c r="S800" s="433"/>
      <c r="T800" s="434"/>
    </row>
    <row r="801" spans="3:22">
      <c r="D801" s="63"/>
      <c r="M801" s="67"/>
      <c r="N801" s="432">
        <f t="shared" si="81"/>
        <v>0</v>
      </c>
      <c r="O801" s="432"/>
      <c r="P801" s="433"/>
      <c r="Q801" s="433"/>
      <c r="R801" s="433"/>
      <c r="S801" s="433"/>
      <c r="T801" s="434"/>
    </row>
    <row r="802" spans="3:22">
      <c r="D802" s="63"/>
      <c r="M802" s="67"/>
      <c r="N802" s="442">
        <f t="shared" si="81"/>
        <v>0</v>
      </c>
      <c r="O802" s="442"/>
      <c r="P802" s="442"/>
      <c r="Q802" s="442"/>
      <c r="R802" s="442"/>
      <c r="S802" s="442"/>
      <c r="T802" s="443"/>
    </row>
    <row r="803" spans="3:22" ht="13">
      <c r="D803" s="68"/>
      <c r="E803" s="69" t="s">
        <v>607</v>
      </c>
      <c r="F803" s="69"/>
      <c r="G803" s="69"/>
      <c r="H803" s="69"/>
      <c r="I803" s="69"/>
      <c r="J803" s="69"/>
      <c r="K803" s="69"/>
      <c r="L803" s="69"/>
      <c r="M803" s="69"/>
      <c r="N803" s="435">
        <f>SUM(N794:O802)</f>
        <v>0</v>
      </c>
      <c r="O803" s="435"/>
      <c r="P803" s="81"/>
      <c r="Q803" s="81"/>
      <c r="R803" s="81"/>
      <c r="S803" s="81"/>
      <c r="T803" s="70"/>
    </row>
    <row r="804" spans="3:22">
      <c r="D804" s="63"/>
      <c r="E804" s="9" t="s">
        <v>608</v>
      </c>
      <c r="N804" s="436"/>
      <c r="O804" s="436"/>
      <c r="P804" s="436"/>
      <c r="Q804" s="436"/>
      <c r="R804" s="436"/>
      <c r="S804" s="436"/>
      <c r="T804" s="437"/>
    </row>
    <row r="805" spans="3:22" ht="13">
      <c r="D805" s="68"/>
      <c r="E805" s="69" t="s">
        <v>607</v>
      </c>
      <c r="F805" s="69"/>
      <c r="G805" s="69"/>
      <c r="H805" s="69"/>
      <c r="I805" s="69"/>
      <c r="J805" s="69"/>
      <c r="K805" s="69"/>
      <c r="L805" s="69"/>
      <c r="M805" s="69"/>
      <c r="N805" s="435">
        <f>SUM(N803:O804)</f>
        <v>0</v>
      </c>
      <c r="O805" s="435"/>
      <c r="P805" s="81"/>
      <c r="Q805" s="81"/>
      <c r="R805" s="81"/>
      <c r="S805" s="81"/>
      <c r="T805" s="70"/>
    </row>
    <row r="806" spans="3:22">
      <c r="D806" s="63"/>
      <c r="E806" s="9" t="s">
        <v>123</v>
      </c>
      <c r="K806" s="71" t="e">
        <f>GL</f>
        <v>#REF!</v>
      </c>
      <c r="N806" s="432" t="e">
        <f>$W814*$K806</f>
        <v>#REF!</v>
      </c>
      <c r="O806" s="432"/>
      <c r="P806" s="439"/>
      <c r="Q806" s="439"/>
      <c r="R806" s="439"/>
      <c r="S806" s="439"/>
      <c r="T806" s="440"/>
    </row>
    <row r="807" spans="3:22">
      <c r="D807" s="63"/>
      <c r="E807" s="9" t="s">
        <v>124</v>
      </c>
      <c r="K807" s="78" t="e">
        <f>BR</f>
        <v>#REF!</v>
      </c>
      <c r="N807" s="432" t="e">
        <f>$W814*$K807</f>
        <v>#REF!</v>
      </c>
      <c r="O807" s="432"/>
      <c r="P807" s="432"/>
      <c r="Q807" s="432"/>
      <c r="R807" s="432"/>
      <c r="S807" s="432"/>
      <c r="T807" s="441"/>
    </row>
    <row r="808" spans="3:22">
      <c r="D808" s="63"/>
      <c r="E808" s="9" t="s">
        <v>609</v>
      </c>
      <c r="K808" s="78" t="e">
        <f>PERMIT</f>
        <v>#REF!</v>
      </c>
      <c r="N808" s="432" t="e">
        <f>$W814*$K808</f>
        <v>#REF!</v>
      </c>
      <c r="O808" s="432"/>
      <c r="P808" s="432"/>
      <c r="Q808" s="432"/>
      <c r="R808" s="432"/>
      <c r="S808" s="432"/>
      <c r="T808" s="441"/>
    </row>
    <row r="809" spans="3:22">
      <c r="D809" s="63"/>
      <c r="E809" s="9" t="s">
        <v>610</v>
      </c>
      <c r="K809" s="79" t="e">
        <f>SDI</f>
        <v>#REF!</v>
      </c>
      <c r="N809" s="432" t="e">
        <f>N803*$K809</f>
        <v>#REF!</v>
      </c>
      <c r="O809" s="432"/>
      <c r="P809" s="432"/>
      <c r="Q809" s="432"/>
      <c r="R809" s="432"/>
      <c r="S809" s="432"/>
      <c r="T809" s="441"/>
    </row>
    <row r="810" spans="3:22">
      <c r="D810" s="63"/>
      <c r="E810" s="9" t="s">
        <v>611</v>
      </c>
      <c r="K810" s="80">
        <v>0</v>
      </c>
      <c r="N810" s="432">
        <f>N804*$K810</f>
        <v>0</v>
      </c>
      <c r="O810" s="432"/>
      <c r="P810" s="432"/>
      <c r="Q810" s="432"/>
      <c r="R810" s="432"/>
      <c r="S810" s="432"/>
      <c r="T810" s="441"/>
    </row>
    <row r="811" spans="3:22" ht="13">
      <c r="D811" s="68"/>
      <c r="E811" s="69" t="s">
        <v>607</v>
      </c>
      <c r="F811" s="69"/>
      <c r="G811" s="69"/>
      <c r="H811" s="69"/>
      <c r="I811" s="69"/>
      <c r="J811" s="69"/>
      <c r="K811" s="69"/>
      <c r="L811" s="69"/>
      <c r="M811" s="69"/>
      <c r="N811" s="435" t="e">
        <f>SUM(N805:O810)</f>
        <v>#REF!</v>
      </c>
      <c r="O811" s="435"/>
      <c r="P811" s="81"/>
      <c r="Q811" s="81"/>
      <c r="R811" s="81"/>
      <c r="S811" s="81"/>
      <c r="T811" s="70"/>
    </row>
    <row r="812" spans="3:22">
      <c r="D812" s="63"/>
      <c r="E812" s="9" t="s">
        <v>612</v>
      </c>
      <c r="K812" s="72" t="e">
        <f>DESIGN_CONT.</f>
        <v>#REF!</v>
      </c>
      <c r="N812" s="439" t="e">
        <f>N811*$K812</f>
        <v>#REF!</v>
      </c>
      <c r="O812" s="439"/>
      <c r="P812" s="439"/>
      <c r="Q812" s="439"/>
      <c r="R812" s="439"/>
      <c r="S812" s="439"/>
      <c r="T812" s="440"/>
    </row>
    <row r="813" spans="3:22">
      <c r="D813" s="63"/>
      <c r="E813" s="9" t="s">
        <v>613</v>
      </c>
      <c r="K813" s="72" t="e">
        <f>CONTINGENCY</f>
        <v>#REF!</v>
      </c>
      <c r="N813" s="442" t="e">
        <f>N811*$K813</f>
        <v>#REF!</v>
      </c>
      <c r="O813" s="442"/>
      <c r="P813" s="442"/>
      <c r="Q813" s="442"/>
      <c r="R813" s="442"/>
      <c r="S813" s="442"/>
      <c r="T813" s="443"/>
    </row>
    <row r="814" spans="3:22" ht="13">
      <c r="C814" s="1">
        <v>26</v>
      </c>
      <c r="D814" s="68"/>
      <c r="E814" s="69" t="s">
        <v>607</v>
      </c>
      <c r="F814" s="69"/>
      <c r="G814" s="69"/>
      <c r="H814" s="69"/>
      <c r="I814" s="69"/>
      <c r="J814" s="69"/>
      <c r="K814" s="69"/>
      <c r="L814" s="69"/>
      <c r="M814" s="69"/>
      <c r="N814" s="435" t="e">
        <f>SUM(N811:O813)</f>
        <v>#REF!</v>
      </c>
      <c r="O814" s="435"/>
      <c r="P814" s="81"/>
      <c r="Q814" s="81"/>
      <c r="R814" s="81"/>
      <c r="S814" s="81"/>
      <c r="T814" s="70"/>
      <c r="V814" s="76" t="s">
        <v>614</v>
      </c>
    </row>
    <row r="815" spans="3:22">
      <c r="D815" s="63"/>
      <c r="E815" s="9" t="s">
        <v>615</v>
      </c>
      <c r="K815" s="72" t="e">
        <f>FEE</f>
        <v>#REF!</v>
      </c>
      <c r="N815" s="436" t="e">
        <f>N814*$K815</f>
        <v>#REF!</v>
      </c>
      <c r="O815" s="436"/>
      <c r="P815" s="436"/>
      <c r="Q815" s="436"/>
      <c r="R815" s="436"/>
      <c r="S815" s="436"/>
      <c r="T815" s="437"/>
    </row>
    <row r="816" spans="3:22" ht="13">
      <c r="D816" s="68"/>
      <c r="E816" s="69" t="s">
        <v>607</v>
      </c>
      <c r="F816" s="69"/>
      <c r="G816" s="69"/>
      <c r="H816" s="69"/>
      <c r="I816" s="69"/>
      <c r="J816" s="69"/>
      <c r="K816" s="69"/>
      <c r="L816" s="69"/>
      <c r="M816" s="69"/>
      <c r="N816" s="435" t="e">
        <f>SUM(N814:O815)</f>
        <v>#REF!</v>
      </c>
      <c r="O816" s="435"/>
      <c r="P816" s="81"/>
      <c r="Q816" s="81"/>
      <c r="R816" s="81"/>
      <c r="S816" s="81"/>
      <c r="T816" s="70"/>
    </row>
    <row r="817" spans="4:20">
      <c r="D817" s="63"/>
      <c r="E817" s="9" t="s">
        <v>616</v>
      </c>
      <c r="K817" s="72">
        <v>0</v>
      </c>
      <c r="N817" s="436" t="e">
        <f>N816*$K817</f>
        <v>#REF!</v>
      </c>
      <c r="O817" s="436"/>
      <c r="P817" s="436"/>
      <c r="Q817" s="436"/>
      <c r="R817" s="436"/>
      <c r="S817" s="436"/>
      <c r="T817" s="437"/>
    </row>
    <row r="818" spans="4:20" ht="13">
      <c r="D818" s="73"/>
      <c r="E818" s="74" t="s">
        <v>18</v>
      </c>
      <c r="F818" s="74"/>
      <c r="G818" s="74"/>
      <c r="H818" s="74"/>
      <c r="I818" s="74"/>
      <c r="J818" s="74"/>
      <c r="K818" s="74"/>
      <c r="L818" s="74"/>
      <c r="M818" s="74"/>
      <c r="N818" s="438" t="e">
        <f>SUM(N816:O817)</f>
        <v>#REF!</v>
      </c>
      <c r="O818" s="438"/>
      <c r="P818" s="82"/>
      <c r="Q818" s="82"/>
      <c r="R818" s="82"/>
      <c r="S818" s="82"/>
      <c r="T818" s="75"/>
    </row>
    <row r="821" spans="4:20">
      <c r="D821" s="59" t="s">
        <v>572</v>
      </c>
      <c r="E821" s="60" t="s">
        <v>573</v>
      </c>
      <c r="F821" s="61"/>
      <c r="G821" s="61"/>
      <c r="H821" s="61"/>
      <c r="I821" s="61"/>
      <c r="J821" s="61"/>
      <c r="K821" s="61"/>
      <c r="L821" s="61"/>
      <c r="M821" s="61"/>
      <c r="N821" s="61"/>
      <c r="O821" s="61"/>
      <c r="P821" s="61"/>
      <c r="Q821" s="61"/>
      <c r="R821" s="61"/>
      <c r="S821" s="61"/>
      <c r="T821" s="62"/>
    </row>
    <row r="822" spans="4:20">
      <c r="D822" s="63" t="e">
        <f>#REF!</f>
        <v>#REF!</v>
      </c>
      <c r="E822" t="e">
        <f>#REF!</f>
        <v>#REF!</v>
      </c>
      <c r="T822" s="64"/>
    </row>
    <row r="823" spans="4:20">
      <c r="D823" s="65"/>
      <c r="E823" s="66" t="s">
        <v>600</v>
      </c>
      <c r="F823" s="66" t="s">
        <v>601</v>
      </c>
      <c r="G823" s="45"/>
      <c r="H823" s="45"/>
      <c r="I823" s="45"/>
      <c r="J823" s="45"/>
      <c r="K823" s="374" t="s">
        <v>602</v>
      </c>
      <c r="L823" s="374" t="s">
        <v>603</v>
      </c>
      <c r="M823" s="374" t="s">
        <v>604</v>
      </c>
      <c r="N823" s="444" t="s">
        <v>605</v>
      </c>
      <c r="O823" s="444"/>
      <c r="P823" s="444" t="s">
        <v>606</v>
      </c>
      <c r="Q823" s="444"/>
      <c r="R823" s="444"/>
      <c r="S823" s="444"/>
      <c r="T823" s="445"/>
    </row>
    <row r="824" spans="4:20">
      <c r="D824" s="63"/>
      <c r="M824" s="67"/>
      <c r="N824" s="446">
        <f t="shared" ref="N824" si="82">K824*M824</f>
        <v>0</v>
      </c>
      <c r="O824" s="446"/>
      <c r="P824" s="446"/>
      <c r="Q824" s="446"/>
      <c r="R824" s="446"/>
      <c r="S824" s="446"/>
      <c r="T824" s="447"/>
    </row>
    <row r="825" spans="4:20">
      <c r="D825" s="63"/>
      <c r="L825" s="9"/>
      <c r="M825" s="67"/>
      <c r="N825" s="432">
        <f>K825*M825</f>
        <v>0</v>
      </c>
      <c r="O825" s="432"/>
      <c r="P825" s="433"/>
      <c r="Q825" s="433"/>
      <c r="R825" s="433"/>
      <c r="S825" s="433"/>
      <c r="T825" s="434"/>
    </row>
    <row r="826" spans="4:20">
      <c r="D826" s="63"/>
      <c r="E826" s="9"/>
      <c r="L826" s="9"/>
      <c r="M826" s="67"/>
      <c r="N826" s="432">
        <f t="shared" ref="N826:N831" si="83">K826*M826</f>
        <v>0</v>
      </c>
      <c r="O826" s="432"/>
      <c r="P826" s="433"/>
      <c r="Q826" s="433"/>
      <c r="R826" s="433"/>
      <c r="S826" s="433"/>
      <c r="T826" s="434"/>
    </row>
    <row r="827" spans="4:20">
      <c r="D827" s="63"/>
      <c r="L827" s="9"/>
      <c r="M827" s="67"/>
      <c r="N827" s="432">
        <f t="shared" si="83"/>
        <v>0</v>
      </c>
      <c r="O827" s="432"/>
      <c r="P827" s="433"/>
      <c r="Q827" s="433"/>
      <c r="R827" s="433"/>
      <c r="S827" s="433"/>
      <c r="T827" s="434"/>
    </row>
    <row r="828" spans="4:20">
      <c r="D828" s="63"/>
      <c r="L828" s="9"/>
      <c r="M828" s="67"/>
      <c r="N828" s="432">
        <f t="shared" si="83"/>
        <v>0</v>
      </c>
      <c r="O828" s="432"/>
      <c r="P828" s="433"/>
      <c r="Q828" s="433"/>
      <c r="R828" s="433"/>
      <c r="S828" s="433"/>
      <c r="T828" s="434"/>
    </row>
    <row r="829" spans="4:20">
      <c r="D829" s="63"/>
      <c r="L829" s="9"/>
      <c r="M829" s="67"/>
      <c r="N829" s="432">
        <f t="shared" si="83"/>
        <v>0</v>
      </c>
      <c r="O829" s="432"/>
      <c r="P829" s="433"/>
      <c r="Q829" s="433"/>
      <c r="R829" s="433"/>
      <c r="S829" s="433"/>
      <c r="T829" s="434"/>
    </row>
    <row r="830" spans="4:20">
      <c r="D830" s="63"/>
      <c r="M830" s="67"/>
      <c r="N830" s="432">
        <f t="shared" si="83"/>
        <v>0</v>
      </c>
      <c r="O830" s="432"/>
      <c r="P830" s="433"/>
      <c r="Q830" s="433"/>
      <c r="R830" s="433"/>
      <c r="S830" s="433"/>
      <c r="T830" s="434"/>
    </row>
    <row r="831" spans="4:20">
      <c r="D831" s="63"/>
      <c r="M831" s="67"/>
      <c r="N831" s="442">
        <f t="shared" si="83"/>
        <v>0</v>
      </c>
      <c r="O831" s="442"/>
      <c r="P831" s="442"/>
      <c r="Q831" s="442"/>
      <c r="R831" s="442"/>
      <c r="S831" s="442"/>
      <c r="T831" s="443"/>
    </row>
    <row r="832" spans="4:20" ht="13">
      <c r="D832" s="68"/>
      <c r="E832" s="69" t="s">
        <v>607</v>
      </c>
      <c r="F832" s="69"/>
      <c r="G832" s="69"/>
      <c r="H832" s="69"/>
      <c r="I832" s="69"/>
      <c r="J832" s="69"/>
      <c r="K832" s="69"/>
      <c r="L832" s="69"/>
      <c r="M832" s="69"/>
      <c r="N832" s="435">
        <f>SUM(N823:O831)</f>
        <v>0</v>
      </c>
      <c r="O832" s="435"/>
      <c r="P832" s="81"/>
      <c r="Q832" s="81"/>
      <c r="R832" s="81"/>
      <c r="S832" s="81"/>
      <c r="T832" s="70"/>
    </row>
    <row r="833" spans="3:22">
      <c r="D833" s="63"/>
      <c r="E833" s="9" t="s">
        <v>608</v>
      </c>
      <c r="N833" s="436"/>
      <c r="O833" s="436"/>
      <c r="P833" s="436"/>
      <c r="Q833" s="436"/>
      <c r="R833" s="436"/>
      <c r="S833" s="436"/>
      <c r="T833" s="437"/>
    </row>
    <row r="834" spans="3:22" ht="13">
      <c r="D834" s="68"/>
      <c r="E834" s="69" t="s">
        <v>607</v>
      </c>
      <c r="F834" s="69"/>
      <c r="G834" s="69"/>
      <c r="H834" s="69"/>
      <c r="I834" s="69"/>
      <c r="J834" s="69"/>
      <c r="K834" s="69"/>
      <c r="L834" s="69"/>
      <c r="M834" s="69"/>
      <c r="N834" s="435">
        <f>SUM(N832:O833)</f>
        <v>0</v>
      </c>
      <c r="O834" s="435"/>
      <c r="P834" s="81"/>
      <c r="Q834" s="81"/>
      <c r="R834" s="81"/>
      <c r="S834" s="81"/>
      <c r="T834" s="70"/>
    </row>
    <row r="835" spans="3:22">
      <c r="D835" s="63"/>
      <c r="E835" s="9" t="s">
        <v>123</v>
      </c>
      <c r="K835" s="71" t="e">
        <f>GL</f>
        <v>#REF!</v>
      </c>
      <c r="N835" s="432" t="e">
        <f>$W843*$K835</f>
        <v>#REF!</v>
      </c>
      <c r="O835" s="432"/>
      <c r="P835" s="439"/>
      <c r="Q835" s="439"/>
      <c r="R835" s="439"/>
      <c r="S835" s="439"/>
      <c r="T835" s="440"/>
    </row>
    <row r="836" spans="3:22">
      <c r="D836" s="63"/>
      <c r="E836" s="9" t="s">
        <v>124</v>
      </c>
      <c r="K836" s="78" t="e">
        <f>BR</f>
        <v>#REF!</v>
      </c>
      <c r="N836" s="432" t="e">
        <f>$W843*$K836</f>
        <v>#REF!</v>
      </c>
      <c r="O836" s="432"/>
      <c r="P836" s="432"/>
      <c r="Q836" s="432"/>
      <c r="R836" s="432"/>
      <c r="S836" s="432"/>
      <c r="T836" s="441"/>
    </row>
    <row r="837" spans="3:22">
      <c r="D837" s="63"/>
      <c r="E837" s="9" t="s">
        <v>609</v>
      </c>
      <c r="K837" s="78" t="e">
        <f>PERMIT</f>
        <v>#REF!</v>
      </c>
      <c r="N837" s="432" t="e">
        <f>$W843*$K837</f>
        <v>#REF!</v>
      </c>
      <c r="O837" s="432"/>
      <c r="P837" s="432"/>
      <c r="Q837" s="432"/>
      <c r="R837" s="432"/>
      <c r="S837" s="432"/>
      <c r="T837" s="441"/>
    </row>
    <row r="838" spans="3:22">
      <c r="D838" s="63"/>
      <c r="E838" s="9" t="s">
        <v>610</v>
      </c>
      <c r="K838" s="79" t="e">
        <f>SDI</f>
        <v>#REF!</v>
      </c>
      <c r="N838" s="432" t="e">
        <f>N832*$K838</f>
        <v>#REF!</v>
      </c>
      <c r="O838" s="432"/>
      <c r="P838" s="432"/>
      <c r="Q838" s="432"/>
      <c r="R838" s="432"/>
      <c r="S838" s="432"/>
      <c r="T838" s="441"/>
    </row>
    <row r="839" spans="3:22">
      <c r="D839" s="63"/>
      <c r="E839" s="9" t="s">
        <v>611</v>
      </c>
      <c r="K839" s="80">
        <v>0</v>
      </c>
      <c r="N839" s="432">
        <f>N833*$K839</f>
        <v>0</v>
      </c>
      <c r="O839" s="432"/>
      <c r="P839" s="432"/>
      <c r="Q839" s="432"/>
      <c r="R839" s="432"/>
      <c r="S839" s="432"/>
      <c r="T839" s="441"/>
    </row>
    <row r="840" spans="3:22" ht="13">
      <c r="D840" s="68"/>
      <c r="E840" s="69" t="s">
        <v>607</v>
      </c>
      <c r="F840" s="69"/>
      <c r="G840" s="69"/>
      <c r="H840" s="69"/>
      <c r="I840" s="69"/>
      <c r="J840" s="69"/>
      <c r="K840" s="69"/>
      <c r="L840" s="69"/>
      <c r="M840" s="69"/>
      <c r="N840" s="435" t="e">
        <f>SUM(N834:O839)</f>
        <v>#REF!</v>
      </c>
      <c r="O840" s="435"/>
      <c r="P840" s="81"/>
      <c r="Q840" s="81"/>
      <c r="R840" s="81"/>
      <c r="S840" s="81"/>
      <c r="T840" s="70"/>
    </row>
    <row r="841" spans="3:22">
      <c r="D841" s="63"/>
      <c r="E841" s="9" t="s">
        <v>612</v>
      </c>
      <c r="K841" s="72" t="e">
        <f>DESIGN_CONT.</f>
        <v>#REF!</v>
      </c>
      <c r="N841" s="439" t="e">
        <f>N840*$K841</f>
        <v>#REF!</v>
      </c>
      <c r="O841" s="439"/>
      <c r="P841" s="439"/>
      <c r="Q841" s="439"/>
      <c r="R841" s="439"/>
      <c r="S841" s="439"/>
      <c r="T841" s="440"/>
    </row>
    <row r="842" spans="3:22">
      <c r="D842" s="63"/>
      <c r="E842" s="9" t="s">
        <v>613</v>
      </c>
      <c r="K842" s="72" t="e">
        <f>CONTINGENCY</f>
        <v>#REF!</v>
      </c>
      <c r="N842" s="442" t="e">
        <f>N840*$K842</f>
        <v>#REF!</v>
      </c>
      <c r="O842" s="442"/>
      <c r="P842" s="442"/>
      <c r="Q842" s="442"/>
      <c r="R842" s="442"/>
      <c r="S842" s="442"/>
      <c r="T842" s="443"/>
    </row>
    <row r="843" spans="3:22" ht="13">
      <c r="C843" s="1">
        <v>27</v>
      </c>
      <c r="D843" s="68"/>
      <c r="E843" s="69" t="s">
        <v>607</v>
      </c>
      <c r="F843" s="69"/>
      <c r="G843" s="69"/>
      <c r="H843" s="69"/>
      <c r="I843" s="69"/>
      <c r="J843" s="69"/>
      <c r="K843" s="69"/>
      <c r="L843" s="69"/>
      <c r="M843" s="69"/>
      <c r="N843" s="435" t="e">
        <f>SUM(N840:O842)</f>
        <v>#REF!</v>
      </c>
      <c r="O843" s="435"/>
      <c r="P843" s="81"/>
      <c r="Q843" s="81"/>
      <c r="R843" s="81"/>
      <c r="S843" s="81"/>
      <c r="T843" s="70"/>
      <c r="V843" s="76" t="s">
        <v>614</v>
      </c>
    </row>
    <row r="844" spans="3:22">
      <c r="D844" s="63"/>
      <c r="E844" s="9" t="s">
        <v>615</v>
      </c>
      <c r="K844" s="72" t="e">
        <f>FEE</f>
        <v>#REF!</v>
      </c>
      <c r="N844" s="436" t="e">
        <f>N843*$K844</f>
        <v>#REF!</v>
      </c>
      <c r="O844" s="436"/>
      <c r="P844" s="436"/>
      <c r="Q844" s="436"/>
      <c r="R844" s="436"/>
      <c r="S844" s="436"/>
      <c r="T844" s="437"/>
    </row>
    <row r="845" spans="3:22" ht="13">
      <c r="D845" s="68"/>
      <c r="E845" s="69" t="s">
        <v>607</v>
      </c>
      <c r="F845" s="69"/>
      <c r="G845" s="69"/>
      <c r="H845" s="69"/>
      <c r="I845" s="69"/>
      <c r="J845" s="69"/>
      <c r="K845" s="69"/>
      <c r="L845" s="69"/>
      <c r="M845" s="69"/>
      <c r="N845" s="435" t="e">
        <f>SUM(N843:O844)</f>
        <v>#REF!</v>
      </c>
      <c r="O845" s="435"/>
      <c r="P845" s="81"/>
      <c r="Q845" s="81"/>
      <c r="R845" s="81"/>
      <c r="S845" s="81"/>
      <c r="T845" s="70"/>
    </row>
    <row r="846" spans="3:22">
      <c r="D846" s="63"/>
      <c r="E846" s="9" t="s">
        <v>616</v>
      </c>
      <c r="K846" s="72">
        <v>0</v>
      </c>
      <c r="N846" s="436" t="e">
        <f>N845*$K846</f>
        <v>#REF!</v>
      </c>
      <c r="O846" s="436"/>
      <c r="P846" s="436"/>
      <c r="Q846" s="436"/>
      <c r="R846" s="436"/>
      <c r="S846" s="436"/>
      <c r="T846" s="437"/>
    </row>
    <row r="847" spans="3:22" ht="13">
      <c r="D847" s="73"/>
      <c r="E847" s="74" t="s">
        <v>18</v>
      </c>
      <c r="F847" s="74"/>
      <c r="G847" s="74"/>
      <c r="H847" s="74"/>
      <c r="I847" s="74"/>
      <c r="J847" s="74"/>
      <c r="K847" s="74"/>
      <c r="L847" s="74"/>
      <c r="M847" s="74"/>
      <c r="N847" s="438" t="e">
        <f>SUM(N845:O846)</f>
        <v>#REF!</v>
      </c>
      <c r="O847" s="438"/>
      <c r="P847" s="82"/>
      <c r="Q847" s="82"/>
      <c r="R847" s="82"/>
      <c r="S847" s="82"/>
      <c r="T847" s="75"/>
    </row>
    <row r="850" spans="4:20">
      <c r="D850" s="59" t="s">
        <v>572</v>
      </c>
      <c r="E850" s="60" t="s">
        <v>573</v>
      </c>
      <c r="F850" s="61"/>
      <c r="G850" s="61"/>
      <c r="H850" s="61"/>
      <c r="I850" s="61"/>
      <c r="J850" s="61"/>
      <c r="K850" s="61"/>
      <c r="L850" s="61"/>
      <c r="M850" s="61"/>
      <c r="N850" s="61"/>
      <c r="O850" s="61"/>
      <c r="P850" s="61"/>
      <c r="Q850" s="61"/>
      <c r="R850" s="61"/>
      <c r="S850" s="61"/>
      <c r="T850" s="62"/>
    </row>
    <row r="851" spans="4:20">
      <c r="D851" s="63" t="e">
        <f>#REF!</f>
        <v>#REF!</v>
      </c>
      <c r="E851" t="e">
        <f>#REF!</f>
        <v>#REF!</v>
      </c>
      <c r="T851" s="64"/>
    </row>
    <row r="852" spans="4:20">
      <c r="D852" s="65"/>
      <c r="E852" s="66" t="s">
        <v>600</v>
      </c>
      <c r="F852" s="66" t="s">
        <v>601</v>
      </c>
      <c r="G852" s="45"/>
      <c r="H852" s="45"/>
      <c r="I852" s="45"/>
      <c r="J852" s="45"/>
      <c r="K852" s="374" t="s">
        <v>602</v>
      </c>
      <c r="L852" s="374" t="s">
        <v>603</v>
      </c>
      <c r="M852" s="374" t="s">
        <v>604</v>
      </c>
      <c r="N852" s="444" t="s">
        <v>605</v>
      </c>
      <c r="O852" s="444"/>
      <c r="P852" s="444" t="s">
        <v>606</v>
      </c>
      <c r="Q852" s="444"/>
      <c r="R852" s="444"/>
      <c r="S852" s="444"/>
      <c r="T852" s="445"/>
    </row>
    <row r="853" spans="4:20">
      <c r="D853" s="63"/>
      <c r="M853" s="67"/>
      <c r="N853" s="446">
        <f t="shared" ref="N853" si="84">K853*M853</f>
        <v>0</v>
      </c>
      <c r="O853" s="446"/>
      <c r="P853" s="446"/>
      <c r="Q853" s="446"/>
      <c r="R853" s="446"/>
      <c r="S853" s="446"/>
      <c r="T853" s="447"/>
    </row>
    <row r="854" spans="4:20">
      <c r="D854" s="63"/>
      <c r="L854" s="9"/>
      <c r="M854" s="67"/>
      <c r="N854" s="432">
        <f>K854*M854</f>
        <v>0</v>
      </c>
      <c r="O854" s="432"/>
      <c r="P854" s="433"/>
      <c r="Q854" s="433"/>
      <c r="R854" s="433"/>
      <c r="S854" s="433"/>
      <c r="T854" s="434"/>
    </row>
    <row r="855" spans="4:20">
      <c r="D855" s="63"/>
      <c r="E855" s="9"/>
      <c r="L855" s="9"/>
      <c r="M855" s="67"/>
      <c r="N855" s="432">
        <f t="shared" ref="N855:N860" si="85">K855*M855</f>
        <v>0</v>
      </c>
      <c r="O855" s="432"/>
      <c r="P855" s="433"/>
      <c r="Q855" s="433"/>
      <c r="R855" s="433"/>
      <c r="S855" s="433"/>
      <c r="T855" s="434"/>
    </row>
    <row r="856" spans="4:20">
      <c r="D856" s="63"/>
      <c r="L856" s="9"/>
      <c r="M856" s="67"/>
      <c r="N856" s="432">
        <f t="shared" si="85"/>
        <v>0</v>
      </c>
      <c r="O856" s="432"/>
      <c r="P856" s="433"/>
      <c r="Q856" s="433"/>
      <c r="R856" s="433"/>
      <c r="S856" s="433"/>
      <c r="T856" s="434"/>
    </row>
    <row r="857" spans="4:20">
      <c r="D857" s="63"/>
      <c r="L857" s="9"/>
      <c r="M857" s="67"/>
      <c r="N857" s="432">
        <f t="shared" si="85"/>
        <v>0</v>
      </c>
      <c r="O857" s="432"/>
      <c r="P857" s="433"/>
      <c r="Q857" s="433"/>
      <c r="R857" s="433"/>
      <c r="S857" s="433"/>
      <c r="T857" s="434"/>
    </row>
    <row r="858" spans="4:20">
      <c r="D858" s="63"/>
      <c r="L858" s="9"/>
      <c r="M858" s="67"/>
      <c r="N858" s="432">
        <f t="shared" si="85"/>
        <v>0</v>
      </c>
      <c r="O858" s="432"/>
      <c r="P858" s="433"/>
      <c r="Q858" s="433"/>
      <c r="R858" s="433"/>
      <c r="S858" s="433"/>
      <c r="T858" s="434"/>
    </row>
    <row r="859" spans="4:20">
      <c r="D859" s="63"/>
      <c r="M859" s="67"/>
      <c r="N859" s="432">
        <f t="shared" si="85"/>
        <v>0</v>
      </c>
      <c r="O859" s="432"/>
      <c r="P859" s="433"/>
      <c r="Q859" s="433"/>
      <c r="R859" s="433"/>
      <c r="S859" s="433"/>
      <c r="T859" s="434"/>
    </row>
    <row r="860" spans="4:20">
      <c r="D860" s="63"/>
      <c r="M860" s="67"/>
      <c r="N860" s="442">
        <f t="shared" si="85"/>
        <v>0</v>
      </c>
      <c r="O860" s="442"/>
      <c r="P860" s="442"/>
      <c r="Q860" s="442"/>
      <c r="R860" s="442"/>
      <c r="S860" s="442"/>
      <c r="T860" s="443"/>
    </row>
    <row r="861" spans="4:20" ht="13">
      <c r="D861" s="68"/>
      <c r="E861" s="69" t="s">
        <v>607</v>
      </c>
      <c r="F861" s="69"/>
      <c r="G861" s="69"/>
      <c r="H861" s="69"/>
      <c r="I861" s="69"/>
      <c r="J861" s="69"/>
      <c r="K861" s="69"/>
      <c r="L861" s="69"/>
      <c r="M861" s="69"/>
      <c r="N861" s="435">
        <f>SUM(N852:O860)</f>
        <v>0</v>
      </c>
      <c r="O861" s="435"/>
      <c r="P861" s="81"/>
      <c r="Q861" s="81"/>
      <c r="R861" s="81"/>
      <c r="S861" s="81"/>
      <c r="T861" s="70"/>
    </row>
    <row r="862" spans="4:20">
      <c r="D862" s="63"/>
      <c r="E862" s="9" t="s">
        <v>608</v>
      </c>
      <c r="N862" s="436"/>
      <c r="O862" s="436"/>
      <c r="P862" s="436"/>
      <c r="Q862" s="436"/>
      <c r="R862" s="436"/>
      <c r="S862" s="436"/>
      <c r="T862" s="437"/>
    </row>
    <row r="863" spans="4:20" ht="13">
      <c r="D863" s="68"/>
      <c r="E863" s="69" t="s">
        <v>607</v>
      </c>
      <c r="F863" s="69"/>
      <c r="G863" s="69"/>
      <c r="H863" s="69"/>
      <c r="I863" s="69"/>
      <c r="J863" s="69"/>
      <c r="K863" s="69"/>
      <c r="L863" s="69"/>
      <c r="M863" s="69"/>
      <c r="N863" s="435">
        <f>SUM(N861:O862)</f>
        <v>0</v>
      </c>
      <c r="O863" s="435"/>
      <c r="P863" s="81"/>
      <c r="Q863" s="81"/>
      <c r="R863" s="81"/>
      <c r="S863" s="81"/>
      <c r="T863" s="70"/>
    </row>
    <row r="864" spans="4:20">
      <c r="D864" s="63"/>
      <c r="E864" s="9" t="s">
        <v>123</v>
      </c>
      <c r="K864" s="71" t="e">
        <f>GL</f>
        <v>#REF!</v>
      </c>
      <c r="N864" s="432" t="e">
        <f>$W872*$K864</f>
        <v>#REF!</v>
      </c>
      <c r="O864" s="432"/>
      <c r="P864" s="439"/>
      <c r="Q864" s="439"/>
      <c r="R864" s="439"/>
      <c r="S864" s="439"/>
      <c r="T864" s="440"/>
    </row>
    <row r="865" spans="3:22">
      <c r="D865" s="63"/>
      <c r="E865" s="9" t="s">
        <v>124</v>
      </c>
      <c r="K865" s="78" t="e">
        <f>BR</f>
        <v>#REF!</v>
      </c>
      <c r="N865" s="432" t="e">
        <f>$W872*$K865</f>
        <v>#REF!</v>
      </c>
      <c r="O865" s="432"/>
      <c r="P865" s="432"/>
      <c r="Q865" s="432"/>
      <c r="R865" s="432"/>
      <c r="S865" s="432"/>
      <c r="T865" s="441"/>
    </row>
    <row r="866" spans="3:22">
      <c r="D866" s="63"/>
      <c r="E866" s="9" t="s">
        <v>609</v>
      </c>
      <c r="K866" s="78" t="e">
        <f>PERMIT</f>
        <v>#REF!</v>
      </c>
      <c r="N866" s="432" t="e">
        <f>$W872*$K866</f>
        <v>#REF!</v>
      </c>
      <c r="O866" s="432"/>
      <c r="P866" s="432"/>
      <c r="Q866" s="432"/>
      <c r="R866" s="432"/>
      <c r="S866" s="432"/>
      <c r="T866" s="441"/>
    </row>
    <row r="867" spans="3:22">
      <c r="D867" s="63"/>
      <c r="E867" s="9" t="s">
        <v>610</v>
      </c>
      <c r="K867" s="79" t="e">
        <f>SDI</f>
        <v>#REF!</v>
      </c>
      <c r="N867" s="432" t="e">
        <f>N861*$K867</f>
        <v>#REF!</v>
      </c>
      <c r="O867" s="432"/>
      <c r="P867" s="432"/>
      <c r="Q867" s="432"/>
      <c r="R867" s="432"/>
      <c r="S867" s="432"/>
      <c r="T867" s="441"/>
    </row>
    <row r="868" spans="3:22">
      <c r="D868" s="63"/>
      <c r="E868" s="9" t="s">
        <v>611</v>
      </c>
      <c r="K868" s="80">
        <v>0</v>
      </c>
      <c r="N868" s="432">
        <f>N862*$K868</f>
        <v>0</v>
      </c>
      <c r="O868" s="432"/>
      <c r="P868" s="432"/>
      <c r="Q868" s="432"/>
      <c r="R868" s="432"/>
      <c r="S868" s="432"/>
      <c r="T868" s="441"/>
    </row>
    <row r="869" spans="3:22" ht="13">
      <c r="D869" s="68"/>
      <c r="E869" s="69" t="s">
        <v>607</v>
      </c>
      <c r="F869" s="69"/>
      <c r="G869" s="69"/>
      <c r="H869" s="69"/>
      <c r="I869" s="69"/>
      <c r="J869" s="69"/>
      <c r="K869" s="69"/>
      <c r="L869" s="69"/>
      <c r="M869" s="69"/>
      <c r="N869" s="435" t="e">
        <f>SUM(N863:O868)</f>
        <v>#REF!</v>
      </c>
      <c r="O869" s="435"/>
      <c r="P869" s="81"/>
      <c r="Q869" s="81"/>
      <c r="R869" s="81"/>
      <c r="S869" s="81"/>
      <c r="T869" s="70"/>
    </row>
    <row r="870" spans="3:22">
      <c r="D870" s="63"/>
      <c r="E870" s="9" t="s">
        <v>612</v>
      </c>
      <c r="K870" s="72" t="e">
        <f>DESIGN_CONT.</f>
        <v>#REF!</v>
      </c>
      <c r="N870" s="439" t="e">
        <f>N869*$K870</f>
        <v>#REF!</v>
      </c>
      <c r="O870" s="439"/>
      <c r="P870" s="439"/>
      <c r="Q870" s="439"/>
      <c r="R870" s="439"/>
      <c r="S870" s="439"/>
      <c r="T870" s="440"/>
    </row>
    <row r="871" spans="3:22">
      <c r="D871" s="63"/>
      <c r="E871" s="9" t="s">
        <v>613</v>
      </c>
      <c r="K871" s="72" t="e">
        <f>CONTINGENCY</f>
        <v>#REF!</v>
      </c>
      <c r="N871" s="442" t="e">
        <f>N869*$K871</f>
        <v>#REF!</v>
      </c>
      <c r="O871" s="442"/>
      <c r="P871" s="442"/>
      <c r="Q871" s="442"/>
      <c r="R871" s="442"/>
      <c r="S871" s="442"/>
      <c r="T871" s="443"/>
    </row>
    <row r="872" spans="3:22" ht="13">
      <c r="C872" s="1">
        <v>28</v>
      </c>
      <c r="D872" s="68"/>
      <c r="E872" s="69" t="s">
        <v>607</v>
      </c>
      <c r="F872" s="69"/>
      <c r="G872" s="69"/>
      <c r="H872" s="69"/>
      <c r="I872" s="69"/>
      <c r="J872" s="69"/>
      <c r="K872" s="69"/>
      <c r="L872" s="69"/>
      <c r="M872" s="69"/>
      <c r="N872" s="435" t="e">
        <f>SUM(N869:O871)</f>
        <v>#REF!</v>
      </c>
      <c r="O872" s="435"/>
      <c r="P872" s="81"/>
      <c r="Q872" s="81"/>
      <c r="R872" s="81"/>
      <c r="S872" s="81"/>
      <c r="T872" s="70"/>
      <c r="V872" s="76" t="s">
        <v>614</v>
      </c>
    </row>
    <row r="873" spans="3:22">
      <c r="C873" s="1"/>
      <c r="D873" s="63"/>
      <c r="E873" s="9" t="s">
        <v>615</v>
      </c>
      <c r="K873" s="72" t="e">
        <f>FEE</f>
        <v>#REF!</v>
      </c>
      <c r="N873" s="436" t="e">
        <f>N872*$K873</f>
        <v>#REF!</v>
      </c>
      <c r="O873" s="436"/>
      <c r="P873" s="436"/>
      <c r="Q873" s="436"/>
      <c r="R873" s="436"/>
      <c r="S873" s="436"/>
      <c r="T873" s="437"/>
    </row>
    <row r="874" spans="3:22" ht="13">
      <c r="C874" s="1"/>
      <c r="D874" s="68"/>
      <c r="E874" s="69" t="s">
        <v>607</v>
      </c>
      <c r="F874" s="69"/>
      <c r="G874" s="69"/>
      <c r="H874" s="69"/>
      <c r="I874" s="69"/>
      <c r="J874" s="69"/>
      <c r="K874" s="69"/>
      <c r="L874" s="69"/>
      <c r="M874" s="69"/>
      <c r="N874" s="435" t="e">
        <f>SUM(N872:O873)</f>
        <v>#REF!</v>
      </c>
      <c r="O874" s="435"/>
      <c r="P874" s="81"/>
      <c r="Q874" s="81"/>
      <c r="R874" s="81"/>
      <c r="S874" s="81"/>
      <c r="T874" s="70"/>
    </row>
    <row r="875" spans="3:22">
      <c r="D875" s="63"/>
      <c r="E875" s="9" t="s">
        <v>616</v>
      </c>
      <c r="K875" s="72">
        <v>0</v>
      </c>
      <c r="N875" s="436" t="e">
        <f>N874*$K875</f>
        <v>#REF!</v>
      </c>
      <c r="O875" s="436"/>
      <c r="P875" s="436"/>
      <c r="Q875" s="436"/>
      <c r="R875" s="436"/>
      <c r="S875" s="436"/>
      <c r="T875" s="437"/>
    </row>
    <row r="876" spans="3:22" ht="13">
      <c r="D876" s="73"/>
      <c r="E876" s="74" t="s">
        <v>18</v>
      </c>
      <c r="F876" s="74"/>
      <c r="G876" s="74"/>
      <c r="H876" s="74"/>
      <c r="I876" s="74"/>
      <c r="J876" s="74"/>
      <c r="K876" s="74"/>
      <c r="L876" s="74"/>
      <c r="M876" s="74"/>
      <c r="N876" s="438" t="e">
        <f>SUM(N874:O875)</f>
        <v>#REF!</v>
      </c>
      <c r="O876" s="438"/>
      <c r="P876" s="82"/>
      <c r="Q876" s="82"/>
      <c r="R876" s="82"/>
      <c r="S876" s="82"/>
      <c r="T876" s="75"/>
    </row>
    <row r="879" spans="3:22">
      <c r="D879" s="59" t="s">
        <v>572</v>
      </c>
      <c r="E879" s="60" t="s">
        <v>573</v>
      </c>
      <c r="F879" s="61"/>
      <c r="G879" s="61"/>
      <c r="H879" s="61"/>
      <c r="I879" s="61"/>
      <c r="J879" s="61"/>
      <c r="K879" s="61"/>
      <c r="L879" s="61"/>
      <c r="M879" s="61"/>
      <c r="N879" s="61"/>
      <c r="O879" s="61"/>
      <c r="P879" s="61"/>
      <c r="Q879" s="61"/>
      <c r="R879" s="61"/>
      <c r="S879" s="61"/>
      <c r="T879" s="62"/>
    </row>
    <row r="880" spans="3:22">
      <c r="D880" s="63" t="e">
        <f>#REF!</f>
        <v>#REF!</v>
      </c>
      <c r="E880" t="e">
        <f>#REF!</f>
        <v>#REF!</v>
      </c>
      <c r="T880" s="64"/>
    </row>
    <row r="881" spans="4:20">
      <c r="D881" s="65"/>
      <c r="E881" s="66" t="s">
        <v>600</v>
      </c>
      <c r="F881" s="66" t="s">
        <v>601</v>
      </c>
      <c r="G881" s="45"/>
      <c r="H881" s="45"/>
      <c r="I881" s="45"/>
      <c r="J881" s="45"/>
      <c r="K881" s="374" t="s">
        <v>602</v>
      </c>
      <c r="L881" s="374" t="s">
        <v>603</v>
      </c>
      <c r="M881" s="374" t="s">
        <v>604</v>
      </c>
      <c r="N881" s="444" t="s">
        <v>605</v>
      </c>
      <c r="O881" s="444"/>
      <c r="P881" s="444" t="s">
        <v>606</v>
      </c>
      <c r="Q881" s="444"/>
      <c r="R881" s="444"/>
      <c r="S881" s="444"/>
      <c r="T881" s="445"/>
    </row>
    <row r="882" spans="4:20">
      <c r="D882" s="63"/>
      <c r="M882" s="67"/>
      <c r="N882" s="446">
        <f t="shared" ref="N882" si="86">K882*M882</f>
        <v>0</v>
      </c>
      <c r="O882" s="446"/>
      <c r="P882" s="446"/>
      <c r="Q882" s="446"/>
      <c r="R882" s="446"/>
      <c r="S882" s="446"/>
      <c r="T882" s="447"/>
    </row>
    <row r="883" spans="4:20">
      <c r="D883" s="63"/>
      <c r="L883" s="9"/>
      <c r="M883" s="67"/>
      <c r="N883" s="432">
        <f>K883*M883</f>
        <v>0</v>
      </c>
      <c r="O883" s="432"/>
      <c r="P883" s="433"/>
      <c r="Q883" s="433"/>
      <c r="R883" s="433"/>
      <c r="S883" s="433"/>
      <c r="T883" s="434"/>
    </row>
    <row r="884" spans="4:20">
      <c r="D884" s="63"/>
      <c r="E884" s="9"/>
      <c r="L884" s="9"/>
      <c r="M884" s="67"/>
      <c r="N884" s="432">
        <f t="shared" ref="N884:N889" si="87">K884*M884</f>
        <v>0</v>
      </c>
      <c r="O884" s="432"/>
      <c r="P884" s="433"/>
      <c r="Q884" s="433"/>
      <c r="R884" s="433"/>
      <c r="S884" s="433"/>
      <c r="T884" s="434"/>
    </row>
    <row r="885" spans="4:20">
      <c r="D885" s="63"/>
      <c r="L885" s="9"/>
      <c r="M885" s="67"/>
      <c r="N885" s="432">
        <f t="shared" si="87"/>
        <v>0</v>
      </c>
      <c r="O885" s="432"/>
      <c r="P885" s="433"/>
      <c r="Q885" s="433"/>
      <c r="R885" s="433"/>
      <c r="S885" s="433"/>
      <c r="T885" s="434"/>
    </row>
    <row r="886" spans="4:20">
      <c r="D886" s="63"/>
      <c r="L886" s="9"/>
      <c r="M886" s="67"/>
      <c r="N886" s="432">
        <f t="shared" si="87"/>
        <v>0</v>
      </c>
      <c r="O886" s="432"/>
      <c r="P886" s="433"/>
      <c r="Q886" s="433"/>
      <c r="R886" s="433"/>
      <c r="S886" s="433"/>
      <c r="T886" s="434"/>
    </row>
    <row r="887" spans="4:20">
      <c r="D887" s="63"/>
      <c r="L887" s="9"/>
      <c r="M887" s="67"/>
      <c r="N887" s="432">
        <f t="shared" si="87"/>
        <v>0</v>
      </c>
      <c r="O887" s="432"/>
      <c r="P887" s="433"/>
      <c r="Q887" s="433"/>
      <c r="R887" s="433"/>
      <c r="S887" s="433"/>
      <c r="T887" s="434"/>
    </row>
    <row r="888" spans="4:20">
      <c r="D888" s="63"/>
      <c r="M888" s="67"/>
      <c r="N888" s="432">
        <f t="shared" si="87"/>
        <v>0</v>
      </c>
      <c r="O888" s="432"/>
      <c r="P888" s="433"/>
      <c r="Q888" s="433"/>
      <c r="R888" s="433"/>
      <c r="S888" s="433"/>
      <c r="T888" s="434"/>
    </row>
    <row r="889" spans="4:20">
      <c r="D889" s="63"/>
      <c r="M889" s="67"/>
      <c r="N889" s="442">
        <f t="shared" si="87"/>
        <v>0</v>
      </c>
      <c r="O889" s="442"/>
      <c r="P889" s="442"/>
      <c r="Q889" s="442"/>
      <c r="R889" s="442"/>
      <c r="S889" s="442"/>
      <c r="T889" s="443"/>
    </row>
    <row r="890" spans="4:20" ht="13">
      <c r="D890" s="68"/>
      <c r="E890" s="69" t="s">
        <v>607</v>
      </c>
      <c r="F890" s="69"/>
      <c r="G890" s="69"/>
      <c r="H890" s="69"/>
      <c r="I890" s="69"/>
      <c r="J890" s="69"/>
      <c r="K890" s="69"/>
      <c r="L890" s="69"/>
      <c r="M890" s="69"/>
      <c r="N890" s="435">
        <f>SUM(N881:O889)</f>
        <v>0</v>
      </c>
      <c r="O890" s="435"/>
      <c r="P890" s="81"/>
      <c r="Q890" s="81"/>
      <c r="R890" s="81"/>
      <c r="S890" s="81"/>
      <c r="T890" s="70"/>
    </row>
    <row r="891" spans="4:20">
      <c r="D891" s="63"/>
      <c r="E891" s="9" t="s">
        <v>608</v>
      </c>
      <c r="N891" s="436"/>
      <c r="O891" s="436"/>
      <c r="P891" s="436"/>
      <c r="Q891" s="436"/>
      <c r="R891" s="436"/>
      <c r="S891" s="436"/>
      <c r="T891" s="437"/>
    </row>
    <row r="892" spans="4:20" ht="13">
      <c r="D892" s="68"/>
      <c r="E892" s="69" t="s">
        <v>607</v>
      </c>
      <c r="F892" s="69"/>
      <c r="G892" s="69"/>
      <c r="H892" s="69"/>
      <c r="I892" s="69"/>
      <c r="J892" s="69"/>
      <c r="K892" s="69"/>
      <c r="L892" s="69"/>
      <c r="M892" s="69"/>
      <c r="N892" s="435">
        <f>SUM(N890:O891)</f>
        <v>0</v>
      </c>
      <c r="O892" s="435"/>
      <c r="P892" s="81"/>
      <c r="Q892" s="81"/>
      <c r="R892" s="81"/>
      <c r="S892" s="81"/>
      <c r="T892" s="70"/>
    </row>
    <row r="893" spans="4:20">
      <c r="D893" s="63"/>
      <c r="E893" s="9" t="s">
        <v>123</v>
      </c>
      <c r="K893" s="71" t="e">
        <f>GL</f>
        <v>#REF!</v>
      </c>
      <c r="N893" s="432" t="e">
        <f>$W901*$K893</f>
        <v>#REF!</v>
      </c>
      <c r="O893" s="432"/>
      <c r="P893" s="439"/>
      <c r="Q893" s="439"/>
      <c r="R893" s="439"/>
      <c r="S893" s="439"/>
      <c r="T893" s="440"/>
    </row>
    <row r="894" spans="4:20">
      <c r="D894" s="63"/>
      <c r="E894" s="9" t="s">
        <v>124</v>
      </c>
      <c r="K894" s="78" t="e">
        <f>BR</f>
        <v>#REF!</v>
      </c>
      <c r="N894" s="432" t="e">
        <f>$W901*$K894</f>
        <v>#REF!</v>
      </c>
      <c r="O894" s="432"/>
      <c r="P894" s="432"/>
      <c r="Q894" s="432"/>
      <c r="R894" s="432"/>
      <c r="S894" s="432"/>
      <c r="T894" s="441"/>
    </row>
    <row r="895" spans="4:20">
      <c r="D895" s="63"/>
      <c r="E895" s="9" t="s">
        <v>609</v>
      </c>
      <c r="K895" s="78" t="e">
        <f>PERMIT</f>
        <v>#REF!</v>
      </c>
      <c r="N895" s="432" t="e">
        <f>$W901*$K895</f>
        <v>#REF!</v>
      </c>
      <c r="O895" s="432"/>
      <c r="P895" s="432"/>
      <c r="Q895" s="432"/>
      <c r="R895" s="432"/>
      <c r="S895" s="432"/>
      <c r="T895" s="441"/>
    </row>
    <row r="896" spans="4:20">
      <c r="D896" s="63"/>
      <c r="E896" s="9" t="s">
        <v>610</v>
      </c>
      <c r="K896" s="79" t="e">
        <f>SDI</f>
        <v>#REF!</v>
      </c>
      <c r="N896" s="432" t="e">
        <f>N890*$K896</f>
        <v>#REF!</v>
      </c>
      <c r="O896" s="432"/>
      <c r="P896" s="432"/>
      <c r="Q896" s="432"/>
      <c r="R896" s="432"/>
      <c r="S896" s="432"/>
      <c r="T896" s="441"/>
    </row>
    <row r="897" spans="3:22">
      <c r="D897" s="63"/>
      <c r="E897" s="9" t="s">
        <v>611</v>
      </c>
      <c r="K897" s="80">
        <v>0</v>
      </c>
      <c r="N897" s="432">
        <f>N891*$K897</f>
        <v>0</v>
      </c>
      <c r="O897" s="432"/>
      <c r="P897" s="432"/>
      <c r="Q897" s="432"/>
      <c r="R897" s="432"/>
      <c r="S897" s="432"/>
      <c r="T897" s="441"/>
    </row>
    <row r="898" spans="3:22" ht="13">
      <c r="D898" s="68"/>
      <c r="E898" s="69" t="s">
        <v>607</v>
      </c>
      <c r="F898" s="69"/>
      <c r="G898" s="69"/>
      <c r="H898" s="69"/>
      <c r="I898" s="69"/>
      <c r="J898" s="69"/>
      <c r="K898" s="69"/>
      <c r="L898" s="69"/>
      <c r="M898" s="69"/>
      <c r="N898" s="435" t="e">
        <f>SUM(N892:O897)</f>
        <v>#REF!</v>
      </c>
      <c r="O898" s="435"/>
      <c r="P898" s="81"/>
      <c r="Q898" s="81"/>
      <c r="R898" s="81"/>
      <c r="S898" s="81"/>
      <c r="T898" s="70"/>
    </row>
    <row r="899" spans="3:22">
      <c r="D899" s="63"/>
      <c r="E899" s="9" t="s">
        <v>612</v>
      </c>
      <c r="K899" s="72" t="e">
        <f>DESIGN_CONT.</f>
        <v>#REF!</v>
      </c>
      <c r="N899" s="439" t="e">
        <f>N898*$K899</f>
        <v>#REF!</v>
      </c>
      <c r="O899" s="439"/>
      <c r="P899" s="439"/>
      <c r="Q899" s="439"/>
      <c r="R899" s="439"/>
      <c r="S899" s="439"/>
      <c r="T899" s="440"/>
    </row>
    <row r="900" spans="3:22">
      <c r="D900" s="63"/>
      <c r="E900" s="9" t="s">
        <v>613</v>
      </c>
      <c r="K900" s="72" t="e">
        <f>CONTINGENCY</f>
        <v>#REF!</v>
      </c>
      <c r="N900" s="442" t="e">
        <f>N898*$K900</f>
        <v>#REF!</v>
      </c>
      <c r="O900" s="442"/>
      <c r="P900" s="442"/>
      <c r="Q900" s="442"/>
      <c r="R900" s="442"/>
      <c r="S900" s="442"/>
      <c r="T900" s="443"/>
    </row>
    <row r="901" spans="3:22" ht="13">
      <c r="C901" s="1">
        <v>29</v>
      </c>
      <c r="D901" s="68"/>
      <c r="E901" s="69" t="s">
        <v>607</v>
      </c>
      <c r="F901" s="69"/>
      <c r="G901" s="69"/>
      <c r="H901" s="69"/>
      <c r="I901" s="69"/>
      <c r="J901" s="69"/>
      <c r="K901" s="69"/>
      <c r="L901" s="69"/>
      <c r="M901" s="69"/>
      <c r="N901" s="435" t="e">
        <f>SUM(N898:O900)</f>
        <v>#REF!</v>
      </c>
      <c r="O901" s="435"/>
      <c r="P901" s="81"/>
      <c r="Q901" s="81"/>
      <c r="R901" s="81"/>
      <c r="S901" s="81"/>
      <c r="T901" s="70"/>
      <c r="V901" s="76" t="s">
        <v>614</v>
      </c>
    </row>
    <row r="902" spans="3:22">
      <c r="D902" s="63"/>
      <c r="E902" s="9" t="s">
        <v>615</v>
      </c>
      <c r="K902" s="72" t="e">
        <f>FEE</f>
        <v>#REF!</v>
      </c>
      <c r="N902" s="436" t="e">
        <f>N901*$K902</f>
        <v>#REF!</v>
      </c>
      <c r="O902" s="436"/>
      <c r="P902" s="436"/>
      <c r="Q902" s="436"/>
      <c r="R902" s="436"/>
      <c r="S902" s="436"/>
      <c r="T902" s="437"/>
    </row>
    <row r="903" spans="3:22" ht="13">
      <c r="D903" s="68"/>
      <c r="E903" s="69" t="s">
        <v>607</v>
      </c>
      <c r="F903" s="69"/>
      <c r="G903" s="69"/>
      <c r="H903" s="69"/>
      <c r="I903" s="69"/>
      <c r="J903" s="69"/>
      <c r="K903" s="69"/>
      <c r="L903" s="69"/>
      <c r="M903" s="69"/>
      <c r="N903" s="435" t="e">
        <f>SUM(N901:O902)</f>
        <v>#REF!</v>
      </c>
      <c r="O903" s="435"/>
      <c r="P903" s="81"/>
      <c r="Q903" s="81"/>
      <c r="R903" s="81"/>
      <c r="S903" s="81"/>
      <c r="T903" s="70"/>
    </row>
    <row r="904" spans="3:22">
      <c r="D904" s="63"/>
      <c r="E904" s="9" t="s">
        <v>616</v>
      </c>
      <c r="K904" s="72">
        <v>0</v>
      </c>
      <c r="N904" s="436" t="e">
        <f>N903*$K904</f>
        <v>#REF!</v>
      </c>
      <c r="O904" s="436"/>
      <c r="P904" s="436"/>
      <c r="Q904" s="436"/>
      <c r="R904" s="436"/>
      <c r="S904" s="436"/>
      <c r="T904" s="437"/>
    </row>
    <row r="905" spans="3:22" ht="13">
      <c r="D905" s="73"/>
      <c r="E905" s="74" t="s">
        <v>18</v>
      </c>
      <c r="F905" s="74"/>
      <c r="G905" s="74"/>
      <c r="H905" s="74"/>
      <c r="I905" s="74"/>
      <c r="J905" s="74"/>
      <c r="K905" s="74"/>
      <c r="L905" s="74"/>
      <c r="M905" s="74"/>
      <c r="N905" s="438" t="e">
        <f>SUM(N903:O904)</f>
        <v>#REF!</v>
      </c>
      <c r="O905" s="438"/>
      <c r="P905" s="82"/>
      <c r="Q905" s="82"/>
      <c r="R905" s="82"/>
      <c r="S905" s="82"/>
      <c r="T905" s="75"/>
    </row>
    <row r="907" spans="3:22" ht="13" thickBot="1"/>
    <row r="908" spans="3:22" ht="13" thickTop="1">
      <c r="D908" s="59" t="s">
        <v>572</v>
      </c>
      <c r="E908" s="60" t="s">
        <v>573</v>
      </c>
      <c r="F908" s="61"/>
      <c r="G908" s="61"/>
      <c r="H908" s="61"/>
      <c r="I908" s="61"/>
      <c r="J908" s="61"/>
      <c r="K908" s="61"/>
      <c r="L908" s="61"/>
      <c r="M908" s="61"/>
      <c r="N908" s="61"/>
      <c r="O908" s="61"/>
      <c r="P908" s="61"/>
      <c r="Q908" s="61"/>
      <c r="R908" s="61"/>
      <c r="S908" s="61"/>
      <c r="T908" s="62"/>
    </row>
    <row r="909" spans="3:22">
      <c r="D909" s="63" t="e">
        <f>#REF!</f>
        <v>#REF!</v>
      </c>
      <c r="E909" t="e">
        <f>#REF!</f>
        <v>#REF!</v>
      </c>
      <c r="T909" s="64"/>
    </row>
    <row r="910" spans="3:22">
      <c r="D910" s="65"/>
      <c r="E910" s="66" t="s">
        <v>600</v>
      </c>
      <c r="F910" s="66" t="s">
        <v>601</v>
      </c>
      <c r="G910" s="45"/>
      <c r="H910" s="45"/>
      <c r="I910" s="45"/>
      <c r="J910" s="45"/>
      <c r="K910" s="374" t="s">
        <v>602</v>
      </c>
      <c r="L910" s="374" t="s">
        <v>603</v>
      </c>
      <c r="M910" s="374" t="s">
        <v>604</v>
      </c>
      <c r="N910" s="444" t="s">
        <v>605</v>
      </c>
      <c r="O910" s="444"/>
      <c r="P910" s="444" t="s">
        <v>606</v>
      </c>
      <c r="Q910" s="444"/>
      <c r="R910" s="444"/>
      <c r="S910" s="444"/>
      <c r="T910" s="445"/>
    </row>
    <row r="911" spans="3:22">
      <c r="D911" s="63"/>
      <c r="M911" s="67"/>
      <c r="N911" s="446">
        <f t="shared" ref="N911" si="88">K911*M911</f>
        <v>0</v>
      </c>
      <c r="O911" s="446"/>
      <c r="P911" s="446"/>
      <c r="Q911" s="446"/>
      <c r="R911" s="446"/>
      <c r="S911" s="446"/>
      <c r="T911" s="447"/>
    </row>
    <row r="912" spans="3:22">
      <c r="D912" s="63"/>
      <c r="L912" s="9"/>
      <c r="M912" s="67"/>
      <c r="N912" s="432">
        <f>K912*M912</f>
        <v>0</v>
      </c>
      <c r="O912" s="432"/>
      <c r="P912" s="433"/>
      <c r="Q912" s="433"/>
      <c r="R912" s="433"/>
      <c r="S912" s="433"/>
      <c r="T912" s="434"/>
    </row>
    <row r="913" spans="4:20">
      <c r="D913" s="63"/>
      <c r="E913" s="9"/>
      <c r="L913" s="9"/>
      <c r="M913" s="67"/>
      <c r="N913" s="432">
        <f t="shared" ref="N913:N918" si="89">K913*M913</f>
        <v>0</v>
      </c>
      <c r="O913" s="432"/>
      <c r="P913" s="433"/>
      <c r="Q913" s="433"/>
      <c r="R913" s="433"/>
      <c r="S913" s="433"/>
      <c r="T913" s="434"/>
    </row>
    <row r="914" spans="4:20">
      <c r="D914" s="63"/>
      <c r="L914" s="9"/>
      <c r="M914" s="67"/>
      <c r="N914" s="432">
        <f t="shared" si="89"/>
        <v>0</v>
      </c>
      <c r="O914" s="432"/>
      <c r="P914" s="433"/>
      <c r="Q914" s="433"/>
      <c r="R914" s="433"/>
      <c r="S914" s="433"/>
      <c r="T914" s="434"/>
    </row>
    <row r="915" spans="4:20">
      <c r="D915" s="63"/>
      <c r="L915" s="9"/>
      <c r="M915" s="67"/>
      <c r="N915" s="432">
        <f t="shared" si="89"/>
        <v>0</v>
      </c>
      <c r="O915" s="432"/>
      <c r="P915" s="433"/>
      <c r="Q915" s="433"/>
      <c r="R915" s="433"/>
      <c r="S915" s="433"/>
      <c r="T915" s="434"/>
    </row>
    <row r="916" spans="4:20">
      <c r="D916" s="63"/>
      <c r="L916" s="9"/>
      <c r="M916" s="67"/>
      <c r="N916" s="432">
        <f t="shared" si="89"/>
        <v>0</v>
      </c>
      <c r="O916" s="432"/>
      <c r="P916" s="433"/>
      <c r="Q916" s="433"/>
      <c r="R916" s="433"/>
      <c r="S916" s="433"/>
      <c r="T916" s="434"/>
    </row>
    <row r="917" spans="4:20">
      <c r="D917" s="63"/>
      <c r="M917" s="67"/>
      <c r="N917" s="432">
        <f t="shared" si="89"/>
        <v>0</v>
      </c>
      <c r="O917" s="432"/>
      <c r="P917" s="433"/>
      <c r="Q917" s="433"/>
      <c r="R917" s="433"/>
      <c r="S917" s="433"/>
      <c r="T917" s="434"/>
    </row>
    <row r="918" spans="4:20" ht="13" thickBot="1">
      <c r="D918" s="63"/>
      <c r="M918" s="67"/>
      <c r="N918" s="442">
        <f t="shared" si="89"/>
        <v>0</v>
      </c>
      <c r="O918" s="442"/>
      <c r="P918" s="442"/>
      <c r="Q918" s="442"/>
      <c r="R918" s="442"/>
      <c r="S918" s="442"/>
      <c r="T918" s="443"/>
    </row>
    <row r="919" spans="4:20" ht="13.5" thickBot="1">
      <c r="D919" s="68"/>
      <c r="E919" s="69" t="s">
        <v>607</v>
      </c>
      <c r="F919" s="69"/>
      <c r="G919" s="69"/>
      <c r="H919" s="69"/>
      <c r="I919" s="69"/>
      <c r="J919" s="69"/>
      <c r="K919" s="69"/>
      <c r="L919" s="69"/>
      <c r="M919" s="69"/>
      <c r="N919" s="435">
        <f>SUM(N910:O918)</f>
        <v>0</v>
      </c>
      <c r="O919" s="435"/>
      <c r="P919" s="81"/>
      <c r="Q919" s="81"/>
      <c r="R919" s="81"/>
      <c r="S919" s="81"/>
      <c r="T919" s="70"/>
    </row>
    <row r="920" spans="4:20" ht="13" thickBot="1">
      <c r="D920" s="63"/>
      <c r="E920" s="9" t="s">
        <v>608</v>
      </c>
      <c r="N920" s="436"/>
      <c r="O920" s="436"/>
      <c r="P920" s="436"/>
      <c r="Q920" s="436"/>
      <c r="R920" s="436"/>
      <c r="S920" s="436"/>
      <c r="T920" s="437"/>
    </row>
    <row r="921" spans="4:20" ht="13.5" thickBot="1">
      <c r="D921" s="68"/>
      <c r="E921" s="69" t="s">
        <v>607</v>
      </c>
      <c r="F921" s="69"/>
      <c r="G921" s="69"/>
      <c r="H921" s="69"/>
      <c r="I921" s="69"/>
      <c r="J921" s="69"/>
      <c r="K921" s="69"/>
      <c r="L921" s="69"/>
      <c r="M921" s="69"/>
      <c r="N921" s="435">
        <f>SUM(N919:O920)</f>
        <v>0</v>
      </c>
      <c r="O921" s="435"/>
      <c r="P921" s="81"/>
      <c r="Q921" s="81"/>
      <c r="R921" s="81"/>
      <c r="S921" s="81"/>
      <c r="T921" s="70"/>
    </row>
    <row r="922" spans="4:20">
      <c r="D922" s="63"/>
      <c r="E922" s="9" t="s">
        <v>123</v>
      </c>
      <c r="K922" s="71" t="e">
        <f>GL</f>
        <v>#REF!</v>
      </c>
      <c r="N922" s="432" t="e">
        <f>$W930*$K922</f>
        <v>#REF!</v>
      </c>
      <c r="O922" s="432"/>
      <c r="P922" s="439"/>
      <c r="Q922" s="439"/>
      <c r="R922" s="439"/>
      <c r="S922" s="439"/>
      <c r="T922" s="440"/>
    </row>
    <row r="923" spans="4:20">
      <c r="D923" s="63"/>
      <c r="E923" s="9" t="s">
        <v>124</v>
      </c>
      <c r="K923" s="78" t="e">
        <f>BR</f>
        <v>#REF!</v>
      </c>
      <c r="N923" s="432" t="e">
        <f>$W930*$K923</f>
        <v>#REF!</v>
      </c>
      <c r="O923" s="432"/>
      <c r="P923" s="432"/>
      <c r="Q923" s="432"/>
      <c r="R923" s="432"/>
      <c r="S923" s="432"/>
      <c r="T923" s="441"/>
    </row>
    <row r="924" spans="4:20">
      <c r="D924" s="63"/>
      <c r="E924" s="9" t="s">
        <v>609</v>
      </c>
      <c r="K924" s="78" t="e">
        <f>PERMIT</f>
        <v>#REF!</v>
      </c>
      <c r="N924" s="432" t="e">
        <f>$W930*$K924</f>
        <v>#REF!</v>
      </c>
      <c r="O924" s="432"/>
      <c r="P924" s="432"/>
      <c r="Q924" s="432"/>
      <c r="R924" s="432"/>
      <c r="S924" s="432"/>
      <c r="T924" s="441"/>
    </row>
    <row r="925" spans="4:20">
      <c r="D925" s="63"/>
      <c r="E925" s="9" t="s">
        <v>610</v>
      </c>
      <c r="K925" s="79" t="e">
        <f>SDI</f>
        <v>#REF!</v>
      </c>
      <c r="N925" s="432" t="e">
        <f>N919*$K925</f>
        <v>#REF!</v>
      </c>
      <c r="O925" s="432"/>
      <c r="P925" s="432"/>
      <c r="Q925" s="432"/>
      <c r="R925" s="432"/>
      <c r="S925" s="432"/>
      <c r="T925" s="441"/>
    </row>
    <row r="926" spans="4:20" ht="13" thickBot="1">
      <c r="D926" s="63"/>
      <c r="E926" s="9" t="s">
        <v>611</v>
      </c>
      <c r="K926" s="80">
        <v>0</v>
      </c>
      <c r="N926" s="432">
        <f>N920*$K926</f>
        <v>0</v>
      </c>
      <c r="O926" s="432"/>
      <c r="P926" s="432"/>
      <c r="Q926" s="432"/>
      <c r="R926" s="432"/>
      <c r="S926" s="432"/>
      <c r="T926" s="441"/>
    </row>
    <row r="927" spans="4:20" ht="13.5" thickBot="1">
      <c r="D927" s="68"/>
      <c r="E927" s="69" t="s">
        <v>607</v>
      </c>
      <c r="F927" s="69"/>
      <c r="G927" s="69"/>
      <c r="H927" s="69"/>
      <c r="I927" s="69"/>
      <c r="J927" s="69"/>
      <c r="K927" s="69"/>
      <c r="L927" s="69"/>
      <c r="M927" s="69"/>
      <c r="N927" s="435" t="e">
        <f>SUM(N921:O926)</f>
        <v>#REF!</v>
      </c>
      <c r="O927" s="435"/>
      <c r="P927" s="81"/>
      <c r="Q927" s="81"/>
      <c r="R927" s="81"/>
      <c r="S927" s="81"/>
      <c r="T927" s="70"/>
    </row>
    <row r="928" spans="4:20">
      <c r="D928" s="63"/>
      <c r="E928" s="9" t="s">
        <v>612</v>
      </c>
      <c r="K928" s="72" t="e">
        <f>DESIGN_CONT.</f>
        <v>#REF!</v>
      </c>
      <c r="N928" s="439" t="e">
        <f>N927*$K928</f>
        <v>#REF!</v>
      </c>
      <c r="O928" s="439"/>
      <c r="P928" s="439"/>
      <c r="Q928" s="439"/>
      <c r="R928" s="439"/>
      <c r="S928" s="439"/>
      <c r="T928" s="440"/>
    </row>
    <row r="929" spans="3:22" ht="13" thickBot="1">
      <c r="D929" s="63"/>
      <c r="E929" s="9" t="s">
        <v>613</v>
      </c>
      <c r="K929" s="72" t="e">
        <f>CONTINGENCY</f>
        <v>#REF!</v>
      </c>
      <c r="N929" s="442" t="e">
        <f>N927*$K929</f>
        <v>#REF!</v>
      </c>
      <c r="O929" s="442"/>
      <c r="P929" s="442"/>
      <c r="Q929" s="442"/>
      <c r="R929" s="442"/>
      <c r="S929" s="442"/>
      <c r="T929" s="443"/>
    </row>
    <row r="930" spans="3:22" ht="13.5" thickBot="1">
      <c r="C930" s="1">
        <v>30</v>
      </c>
      <c r="D930" s="68"/>
      <c r="E930" s="69" t="s">
        <v>607</v>
      </c>
      <c r="F930" s="69"/>
      <c r="G930" s="69"/>
      <c r="H930" s="69"/>
      <c r="I930" s="69"/>
      <c r="J930" s="69"/>
      <c r="K930" s="69"/>
      <c r="L930" s="69"/>
      <c r="M930" s="69"/>
      <c r="N930" s="435" t="e">
        <f>SUM(N927:O929)</f>
        <v>#REF!</v>
      </c>
      <c r="O930" s="435"/>
      <c r="P930" s="81"/>
      <c r="Q930" s="81"/>
      <c r="R930" s="81"/>
      <c r="S930" s="81"/>
      <c r="T930" s="70"/>
      <c r="V930" s="76" t="s">
        <v>614</v>
      </c>
    </row>
    <row r="931" spans="3:22" ht="13" thickBot="1">
      <c r="D931" s="63"/>
      <c r="E931" s="9" t="s">
        <v>615</v>
      </c>
      <c r="K931" s="72" t="e">
        <f>FEE</f>
        <v>#REF!</v>
      </c>
      <c r="N931" s="436" t="e">
        <f>N930*$K931</f>
        <v>#REF!</v>
      </c>
      <c r="O931" s="436"/>
      <c r="P931" s="436"/>
      <c r="Q931" s="436"/>
      <c r="R931" s="436"/>
      <c r="S931" s="436"/>
      <c r="T931" s="437"/>
    </row>
    <row r="932" spans="3:22" ht="13.5" thickBot="1">
      <c r="D932" s="68"/>
      <c r="E932" s="69" t="s">
        <v>607</v>
      </c>
      <c r="F932" s="69"/>
      <c r="G932" s="69"/>
      <c r="H932" s="69"/>
      <c r="I932" s="69"/>
      <c r="J932" s="69"/>
      <c r="K932" s="69"/>
      <c r="L932" s="69"/>
      <c r="M932" s="69"/>
      <c r="N932" s="435" t="e">
        <f>SUM(N930:O931)</f>
        <v>#REF!</v>
      </c>
      <c r="O932" s="435"/>
      <c r="P932" s="81"/>
      <c r="Q932" s="81"/>
      <c r="R932" s="81"/>
      <c r="S932" s="81"/>
      <c r="T932" s="70"/>
    </row>
    <row r="933" spans="3:22" ht="13" thickBot="1">
      <c r="D933" s="63"/>
      <c r="E933" s="9" t="s">
        <v>616</v>
      </c>
      <c r="K933" s="72">
        <v>0</v>
      </c>
      <c r="N933" s="436" t="e">
        <f>N932*$K933</f>
        <v>#REF!</v>
      </c>
      <c r="O933" s="436"/>
      <c r="P933" s="436"/>
      <c r="Q933" s="436"/>
      <c r="R933" s="436"/>
      <c r="S933" s="436"/>
      <c r="T933" s="437"/>
    </row>
    <row r="934" spans="3:22" ht="13.5" thickBot="1">
      <c r="D934" s="73"/>
      <c r="E934" s="74" t="s">
        <v>18</v>
      </c>
      <c r="F934" s="74"/>
      <c r="G934" s="74"/>
      <c r="H934" s="74"/>
      <c r="I934" s="74"/>
      <c r="J934" s="74"/>
      <c r="K934" s="74"/>
      <c r="L934" s="74"/>
      <c r="M934" s="74"/>
      <c r="N934" s="438" t="e">
        <f>SUM(N932:O933)</f>
        <v>#REF!</v>
      </c>
      <c r="O934" s="438"/>
      <c r="P934" s="82"/>
      <c r="Q934" s="82"/>
      <c r="R934" s="82"/>
      <c r="S934" s="82"/>
      <c r="T934" s="75"/>
    </row>
    <row r="935" spans="3:22" ht="13" thickTop="1"/>
    <row r="936" spans="3:22" ht="13" thickBot="1"/>
    <row r="937" spans="3:22" ht="13" thickTop="1">
      <c r="D937" s="59" t="s">
        <v>572</v>
      </c>
      <c r="E937" s="60" t="s">
        <v>573</v>
      </c>
      <c r="F937" s="61"/>
      <c r="G937" s="61"/>
      <c r="H937" s="61"/>
      <c r="I937" s="61"/>
      <c r="J937" s="61"/>
      <c r="K937" s="61"/>
      <c r="L937" s="61"/>
      <c r="M937" s="61"/>
      <c r="N937" s="61"/>
      <c r="O937" s="61"/>
      <c r="P937" s="61"/>
      <c r="Q937" s="61"/>
      <c r="R937" s="61"/>
      <c r="S937" s="61"/>
      <c r="T937" s="62"/>
    </row>
    <row r="938" spans="3:22">
      <c r="D938" s="63" t="e">
        <f>#REF!</f>
        <v>#REF!</v>
      </c>
      <c r="E938" t="e">
        <f>#REF!</f>
        <v>#REF!</v>
      </c>
      <c r="T938" s="64"/>
    </row>
    <row r="939" spans="3:22">
      <c r="D939" s="65"/>
      <c r="E939" s="66" t="s">
        <v>600</v>
      </c>
      <c r="F939" s="66" t="s">
        <v>601</v>
      </c>
      <c r="G939" s="45"/>
      <c r="H939" s="45"/>
      <c r="I939" s="45"/>
      <c r="J939" s="45"/>
      <c r="K939" s="374" t="s">
        <v>602</v>
      </c>
      <c r="L939" s="374" t="s">
        <v>603</v>
      </c>
      <c r="M939" s="374" t="s">
        <v>604</v>
      </c>
      <c r="N939" s="444" t="s">
        <v>605</v>
      </c>
      <c r="O939" s="444"/>
      <c r="P939" s="444" t="s">
        <v>606</v>
      </c>
      <c r="Q939" s="444"/>
      <c r="R939" s="444"/>
      <c r="S939" s="444"/>
      <c r="T939" s="445"/>
    </row>
    <row r="940" spans="3:22">
      <c r="D940" s="63"/>
      <c r="M940" s="67"/>
      <c r="N940" s="446">
        <f t="shared" ref="N940" si="90">K940*M940</f>
        <v>0</v>
      </c>
      <c r="O940" s="446"/>
      <c r="P940" s="446"/>
      <c r="Q940" s="446"/>
      <c r="R940" s="446"/>
      <c r="S940" s="446"/>
      <c r="T940" s="447"/>
    </row>
    <row r="941" spans="3:22">
      <c r="D941" s="63"/>
      <c r="L941" s="9"/>
      <c r="M941" s="67"/>
      <c r="N941" s="432">
        <f>K941*M941</f>
        <v>0</v>
      </c>
      <c r="O941" s="432"/>
      <c r="P941" s="433"/>
      <c r="Q941" s="433"/>
      <c r="R941" s="433"/>
      <c r="S941" s="433"/>
      <c r="T941" s="434"/>
    </row>
    <row r="942" spans="3:22">
      <c r="D942" s="63"/>
      <c r="E942" s="9"/>
      <c r="L942" s="9"/>
      <c r="M942" s="67"/>
      <c r="N942" s="432">
        <f t="shared" ref="N942:N951" si="91">K942*M942</f>
        <v>0</v>
      </c>
      <c r="O942" s="432"/>
      <c r="P942" s="433"/>
      <c r="Q942" s="433"/>
      <c r="R942" s="433"/>
      <c r="S942" s="433"/>
      <c r="T942" s="434"/>
    </row>
    <row r="943" spans="3:22">
      <c r="D943" s="63"/>
      <c r="L943" s="9"/>
      <c r="M943" s="67"/>
      <c r="N943" s="432">
        <f t="shared" si="91"/>
        <v>0</v>
      </c>
      <c r="O943" s="432"/>
      <c r="P943" s="433"/>
      <c r="Q943" s="433"/>
      <c r="R943" s="433"/>
      <c r="S943" s="433"/>
      <c r="T943" s="434"/>
    </row>
    <row r="944" spans="3:22">
      <c r="D944" s="63"/>
      <c r="L944" s="9"/>
      <c r="M944" s="67"/>
      <c r="N944" s="432">
        <f t="shared" si="91"/>
        <v>0</v>
      </c>
      <c r="O944" s="432"/>
      <c r="P944" s="433"/>
      <c r="Q944" s="433"/>
      <c r="R944" s="433"/>
      <c r="S944" s="433"/>
      <c r="T944" s="434"/>
    </row>
    <row r="945" spans="4:20">
      <c r="D945" s="63"/>
      <c r="L945" s="9"/>
      <c r="M945" s="67"/>
      <c r="N945" s="432">
        <f t="shared" si="91"/>
        <v>0</v>
      </c>
      <c r="O945" s="432"/>
      <c r="P945" s="433"/>
      <c r="Q945" s="433"/>
      <c r="R945" s="433"/>
      <c r="S945" s="433"/>
      <c r="T945" s="434"/>
    </row>
    <row r="946" spans="4:20">
      <c r="D946" s="63"/>
      <c r="L946" s="9"/>
      <c r="M946" s="67"/>
      <c r="N946" s="432">
        <f t="shared" si="91"/>
        <v>0</v>
      </c>
      <c r="O946" s="432"/>
      <c r="P946" s="433"/>
      <c r="Q946" s="433"/>
      <c r="R946" s="433"/>
      <c r="S946" s="433"/>
      <c r="T946" s="434"/>
    </row>
    <row r="947" spans="4:20">
      <c r="D947" s="63"/>
      <c r="L947" s="9"/>
      <c r="M947" s="67"/>
      <c r="N947" s="432">
        <f t="shared" si="91"/>
        <v>0</v>
      </c>
      <c r="O947" s="432"/>
      <c r="P947" s="433"/>
      <c r="Q947" s="433"/>
      <c r="R947" s="433"/>
      <c r="S947" s="433"/>
      <c r="T947" s="434"/>
    </row>
    <row r="948" spans="4:20">
      <c r="D948" s="63"/>
      <c r="L948" s="9"/>
      <c r="M948" s="67"/>
      <c r="N948" s="432">
        <f t="shared" ref="N948" si="92">K948*M948</f>
        <v>0</v>
      </c>
      <c r="O948" s="432"/>
      <c r="P948" s="433"/>
      <c r="Q948" s="433"/>
      <c r="R948" s="433"/>
      <c r="S948" s="433"/>
      <c r="T948" s="434"/>
    </row>
    <row r="949" spans="4:20">
      <c r="D949" s="63"/>
      <c r="L949" s="9"/>
      <c r="M949" s="67"/>
      <c r="N949" s="432">
        <f t="shared" ref="N949" si="93">K949*M949</f>
        <v>0</v>
      </c>
      <c r="O949" s="432"/>
      <c r="P949" s="433"/>
      <c r="Q949" s="433"/>
      <c r="R949" s="433"/>
      <c r="S949" s="433"/>
      <c r="T949" s="434"/>
    </row>
    <row r="950" spans="4:20">
      <c r="D950" s="63"/>
      <c r="L950" s="9"/>
      <c r="M950" s="67"/>
      <c r="N950" s="432">
        <f t="shared" ref="N950" si="94">K950*M950</f>
        <v>0</v>
      </c>
      <c r="O950" s="432"/>
      <c r="P950" s="433"/>
      <c r="Q950" s="433"/>
      <c r="R950" s="433"/>
      <c r="S950" s="433"/>
      <c r="T950" s="434"/>
    </row>
    <row r="951" spans="4:20" ht="13" thickBot="1">
      <c r="D951" s="63"/>
      <c r="M951" s="67"/>
      <c r="N951" s="442">
        <f t="shared" si="91"/>
        <v>0</v>
      </c>
      <c r="O951" s="442"/>
      <c r="P951" s="442"/>
      <c r="Q951" s="442"/>
      <c r="R951" s="442"/>
      <c r="S951" s="442"/>
      <c r="T951" s="443"/>
    </row>
    <row r="952" spans="4:20" ht="13.5" thickBot="1">
      <c r="D952" s="68"/>
      <c r="E952" s="69" t="s">
        <v>607</v>
      </c>
      <c r="F952" s="69"/>
      <c r="G952" s="69"/>
      <c r="H952" s="69"/>
      <c r="I952" s="69"/>
      <c r="J952" s="69"/>
      <c r="K952" s="69"/>
      <c r="L952" s="69"/>
      <c r="M952" s="69"/>
      <c r="N952" s="435">
        <f>SUM(N939:O951)</f>
        <v>0</v>
      </c>
      <c r="O952" s="435"/>
      <c r="P952" s="81"/>
      <c r="Q952" s="81"/>
      <c r="R952" s="81"/>
      <c r="S952" s="81"/>
      <c r="T952" s="70"/>
    </row>
    <row r="953" spans="4:20" ht="13" thickBot="1">
      <c r="D953" s="63"/>
      <c r="E953" s="9" t="s">
        <v>608</v>
      </c>
      <c r="N953" s="436"/>
      <c r="O953" s="436"/>
      <c r="P953" s="436"/>
      <c r="Q953" s="436"/>
      <c r="R953" s="436"/>
      <c r="S953" s="436"/>
      <c r="T953" s="437"/>
    </row>
    <row r="954" spans="4:20" ht="13.5" thickBot="1">
      <c r="D954" s="68"/>
      <c r="E954" s="69" t="s">
        <v>607</v>
      </c>
      <c r="F954" s="69"/>
      <c r="G954" s="69"/>
      <c r="H954" s="69"/>
      <c r="I954" s="69"/>
      <c r="J954" s="69"/>
      <c r="K954" s="69"/>
      <c r="L954" s="69"/>
      <c r="M954" s="69"/>
      <c r="N954" s="435">
        <f>SUM(N952:O953)</f>
        <v>0</v>
      </c>
      <c r="O954" s="435"/>
      <c r="P954" s="81"/>
      <c r="Q954" s="81"/>
      <c r="R954" s="81"/>
      <c r="S954" s="81"/>
      <c r="T954" s="70"/>
    </row>
    <row r="955" spans="4:20">
      <c r="D955" s="63"/>
      <c r="E955" s="9" t="s">
        <v>123</v>
      </c>
      <c r="K955" s="71" t="e">
        <f>GL</f>
        <v>#REF!</v>
      </c>
      <c r="N955" s="432" t="e">
        <f>$W963*$K955</f>
        <v>#REF!</v>
      </c>
      <c r="O955" s="432"/>
      <c r="P955" s="439"/>
      <c r="Q955" s="439"/>
      <c r="R955" s="439"/>
      <c r="S955" s="439"/>
      <c r="T955" s="440"/>
    </row>
    <row r="956" spans="4:20">
      <c r="D956" s="63"/>
      <c r="E956" s="9" t="s">
        <v>124</v>
      </c>
      <c r="K956" s="78" t="e">
        <f>BR</f>
        <v>#REF!</v>
      </c>
      <c r="N956" s="432" t="e">
        <f>$W963*$K956</f>
        <v>#REF!</v>
      </c>
      <c r="O956" s="432"/>
      <c r="P956" s="432"/>
      <c r="Q956" s="432"/>
      <c r="R956" s="432"/>
      <c r="S956" s="432"/>
      <c r="T956" s="441"/>
    </row>
    <row r="957" spans="4:20">
      <c r="D957" s="63"/>
      <c r="E957" s="9" t="s">
        <v>609</v>
      </c>
      <c r="K957" s="78" t="e">
        <f>PERMIT</f>
        <v>#REF!</v>
      </c>
      <c r="N957" s="432" t="e">
        <f>$W963*$K957</f>
        <v>#REF!</v>
      </c>
      <c r="O957" s="432"/>
      <c r="P957" s="432"/>
      <c r="Q957" s="432"/>
      <c r="R957" s="432"/>
      <c r="S957" s="432"/>
      <c r="T957" s="441"/>
    </row>
    <row r="958" spans="4:20">
      <c r="D958" s="63"/>
      <c r="E958" s="9" t="s">
        <v>610</v>
      </c>
      <c r="K958" s="79" t="e">
        <f>SDI</f>
        <v>#REF!</v>
      </c>
      <c r="N958" s="432" t="e">
        <f>N952*$K958</f>
        <v>#REF!</v>
      </c>
      <c r="O958" s="432"/>
      <c r="P958" s="432"/>
      <c r="Q958" s="432"/>
      <c r="R958" s="432"/>
      <c r="S958" s="432"/>
      <c r="T958" s="441"/>
    </row>
    <row r="959" spans="4:20" ht="13" thickBot="1">
      <c r="D959" s="63"/>
      <c r="E959" s="9" t="s">
        <v>611</v>
      </c>
      <c r="K959" s="80">
        <v>0</v>
      </c>
      <c r="N959" s="432">
        <f>N953*$K959</f>
        <v>0</v>
      </c>
      <c r="O959" s="432"/>
      <c r="P959" s="432"/>
      <c r="Q959" s="432"/>
      <c r="R959" s="432"/>
      <c r="S959" s="432"/>
      <c r="T959" s="441"/>
    </row>
    <row r="960" spans="4:20" ht="13.5" thickBot="1">
      <c r="D960" s="68"/>
      <c r="E960" s="69" t="s">
        <v>607</v>
      </c>
      <c r="F960" s="69"/>
      <c r="G960" s="69"/>
      <c r="H960" s="69"/>
      <c r="I960" s="69"/>
      <c r="J960" s="69"/>
      <c r="K960" s="69"/>
      <c r="L960" s="69"/>
      <c r="M960" s="69"/>
      <c r="N960" s="435" t="e">
        <f>SUM(N954:O959)</f>
        <v>#REF!</v>
      </c>
      <c r="O960" s="435"/>
      <c r="P960" s="81"/>
      <c r="Q960" s="81"/>
      <c r="R960" s="81"/>
      <c r="S960" s="81"/>
      <c r="T960" s="70"/>
    </row>
    <row r="961" spans="3:22">
      <c r="D961" s="63"/>
      <c r="E961" s="9" t="s">
        <v>612</v>
      </c>
      <c r="K961" s="72" t="e">
        <f>DESIGN_CONT.</f>
        <v>#REF!</v>
      </c>
      <c r="N961" s="439" t="e">
        <f>N960*$K961</f>
        <v>#REF!</v>
      </c>
      <c r="O961" s="439"/>
      <c r="P961" s="439"/>
      <c r="Q961" s="439"/>
      <c r="R961" s="439"/>
      <c r="S961" s="439"/>
      <c r="T961" s="440"/>
    </row>
    <row r="962" spans="3:22" ht="13" thickBot="1">
      <c r="D962" s="63"/>
      <c r="E962" s="9" t="s">
        <v>613</v>
      </c>
      <c r="K962" s="72" t="e">
        <f>CONTINGENCY</f>
        <v>#REF!</v>
      </c>
      <c r="N962" s="442" t="e">
        <f>N960*$K962</f>
        <v>#REF!</v>
      </c>
      <c r="O962" s="442"/>
      <c r="P962" s="442"/>
      <c r="Q962" s="442"/>
      <c r="R962" s="442"/>
      <c r="S962" s="442"/>
      <c r="T962" s="443"/>
    </row>
    <row r="963" spans="3:22" ht="13">
      <c r="C963" s="1">
        <v>31</v>
      </c>
      <c r="D963" s="68"/>
      <c r="E963" s="69" t="s">
        <v>607</v>
      </c>
      <c r="F963" s="69"/>
      <c r="G963" s="69"/>
      <c r="H963" s="69"/>
      <c r="I963" s="69"/>
      <c r="J963" s="69"/>
      <c r="K963" s="69"/>
      <c r="L963" s="69"/>
      <c r="M963" s="69"/>
      <c r="N963" s="435" t="e">
        <f>SUM(N960:O962)</f>
        <v>#REF!</v>
      </c>
      <c r="O963" s="435"/>
      <c r="P963" s="81"/>
      <c r="Q963" s="81"/>
      <c r="R963" s="81"/>
      <c r="S963" s="81"/>
      <c r="T963" s="70"/>
      <c r="V963" s="76" t="s">
        <v>614</v>
      </c>
    </row>
    <row r="964" spans="3:22" ht="13" thickBot="1">
      <c r="C964" s="1"/>
      <c r="D964" s="63"/>
      <c r="E964" s="9" t="s">
        <v>615</v>
      </c>
      <c r="K964" s="72" t="e">
        <f>FEE</f>
        <v>#REF!</v>
      </c>
      <c r="N964" s="436" t="e">
        <f>N963*$K964</f>
        <v>#REF!</v>
      </c>
      <c r="O964" s="436"/>
      <c r="P964" s="436"/>
      <c r="Q964" s="436"/>
      <c r="R964" s="436"/>
      <c r="S964" s="436"/>
      <c r="T964" s="437"/>
    </row>
    <row r="965" spans="3:22" ht="13.5" thickBot="1">
      <c r="C965" s="1"/>
      <c r="D965" s="68"/>
      <c r="E965" s="69" t="s">
        <v>607</v>
      </c>
      <c r="F965" s="69"/>
      <c r="G965" s="69"/>
      <c r="H965" s="69"/>
      <c r="I965" s="69"/>
      <c r="J965" s="69"/>
      <c r="K965" s="69"/>
      <c r="L965" s="69"/>
      <c r="M965" s="69"/>
      <c r="N965" s="435" t="e">
        <f>SUM(N963:O964)</f>
        <v>#REF!</v>
      </c>
      <c r="O965" s="435"/>
      <c r="P965" s="81"/>
      <c r="Q965" s="81"/>
      <c r="R965" s="81"/>
      <c r="S965" s="81"/>
      <c r="T965" s="70"/>
    </row>
    <row r="966" spans="3:22" ht="13" thickBot="1">
      <c r="D966" s="63"/>
      <c r="E966" s="9" t="s">
        <v>616</v>
      </c>
      <c r="K966" s="72">
        <v>0</v>
      </c>
      <c r="N966" s="436" t="e">
        <f>N965*$K966</f>
        <v>#REF!</v>
      </c>
      <c r="O966" s="436"/>
      <c r="P966" s="436"/>
      <c r="Q966" s="436"/>
      <c r="R966" s="436"/>
      <c r="S966" s="436"/>
      <c r="T966" s="437"/>
    </row>
    <row r="967" spans="3:22" ht="13.5" thickBot="1">
      <c r="D967" s="73"/>
      <c r="E967" s="74" t="s">
        <v>18</v>
      </c>
      <c r="F967" s="74"/>
      <c r="G967" s="74"/>
      <c r="H967" s="74"/>
      <c r="I967" s="74"/>
      <c r="J967" s="74"/>
      <c r="K967" s="74"/>
      <c r="L967" s="74"/>
      <c r="M967" s="74"/>
      <c r="N967" s="438" t="e">
        <f>SUM(N965:O966)</f>
        <v>#REF!</v>
      </c>
      <c r="O967" s="438"/>
      <c r="P967" s="82"/>
      <c r="Q967" s="82"/>
      <c r="R967" s="82"/>
      <c r="S967" s="82"/>
      <c r="T967" s="75"/>
    </row>
    <row r="968" spans="3:22" ht="13" thickTop="1"/>
    <row r="969" spans="3:22" ht="13" thickBot="1"/>
    <row r="970" spans="3:22" ht="13" thickTop="1">
      <c r="D970" s="59" t="s">
        <v>572</v>
      </c>
      <c r="E970" s="60" t="s">
        <v>573</v>
      </c>
      <c r="F970" s="61"/>
      <c r="G970" s="61"/>
      <c r="H970" s="61"/>
      <c r="I970" s="61"/>
      <c r="J970" s="61"/>
      <c r="K970" s="61"/>
      <c r="L970" s="61"/>
      <c r="M970" s="61"/>
      <c r="N970" s="61"/>
      <c r="O970" s="61"/>
      <c r="P970" s="61"/>
      <c r="Q970" s="61"/>
      <c r="R970" s="61"/>
      <c r="S970" s="61"/>
      <c r="T970" s="62"/>
    </row>
    <row r="971" spans="3:22">
      <c r="D971" s="63" t="e">
        <f>#REF!</f>
        <v>#REF!</v>
      </c>
      <c r="E971" t="e">
        <f>#REF!</f>
        <v>#REF!</v>
      </c>
      <c r="T971" s="64"/>
    </row>
    <row r="972" spans="3:22">
      <c r="D972" s="65"/>
      <c r="E972" s="66" t="s">
        <v>600</v>
      </c>
      <c r="F972" s="66" t="s">
        <v>601</v>
      </c>
      <c r="G972" s="45"/>
      <c r="H972" s="45"/>
      <c r="I972" s="45"/>
      <c r="J972" s="45"/>
      <c r="K972" s="374" t="s">
        <v>602</v>
      </c>
      <c r="L972" s="374" t="s">
        <v>603</v>
      </c>
      <c r="M972" s="374" t="s">
        <v>604</v>
      </c>
      <c r="N972" s="444" t="s">
        <v>605</v>
      </c>
      <c r="O972" s="444"/>
      <c r="P972" s="444" t="s">
        <v>606</v>
      </c>
      <c r="Q972" s="444"/>
      <c r="R972" s="444"/>
      <c r="S972" s="444"/>
      <c r="T972" s="445"/>
    </row>
    <row r="973" spans="3:22">
      <c r="D973" s="63"/>
      <c r="M973" s="67"/>
      <c r="N973" s="446">
        <f t="shared" ref="N973" si="95">K973*M973</f>
        <v>0</v>
      </c>
      <c r="O973" s="446"/>
      <c r="P973" s="446"/>
      <c r="Q973" s="446"/>
      <c r="R973" s="446"/>
      <c r="S973" s="446"/>
      <c r="T973" s="447"/>
    </row>
    <row r="974" spans="3:22">
      <c r="D974" s="63"/>
      <c r="E974" s="9"/>
      <c r="L974" s="9"/>
      <c r="M974" s="67"/>
      <c r="N974" s="432">
        <f t="shared" ref="N974:N981" si="96">K974*M974</f>
        <v>0</v>
      </c>
      <c r="O974" s="432"/>
      <c r="P974" s="433"/>
      <c r="Q974" s="433"/>
      <c r="R974" s="433"/>
      <c r="S974" s="433"/>
      <c r="T974" s="434"/>
    </row>
    <row r="975" spans="3:22">
      <c r="D975" s="63"/>
      <c r="L975" s="9"/>
      <c r="M975" s="67"/>
      <c r="N975" s="432">
        <f t="shared" ref="N975" si="97">K975*M975</f>
        <v>0</v>
      </c>
      <c r="O975" s="432"/>
      <c r="P975" s="433"/>
      <c r="Q975" s="433"/>
      <c r="R975" s="433"/>
      <c r="S975" s="433"/>
      <c r="T975" s="434"/>
    </row>
    <row r="976" spans="3:22">
      <c r="D976" s="63"/>
      <c r="L976" s="9"/>
      <c r="M976" s="67"/>
      <c r="N976" s="432">
        <f t="shared" ref="N976" si="98">K976*M976</f>
        <v>0</v>
      </c>
      <c r="O976" s="432"/>
      <c r="P976" s="433"/>
      <c r="Q976" s="433"/>
      <c r="R976" s="433"/>
      <c r="S976" s="433"/>
      <c r="T976" s="434"/>
    </row>
    <row r="977" spans="4:20">
      <c r="D977" s="63"/>
      <c r="L977" s="9"/>
      <c r="M977" s="67"/>
      <c r="N977" s="432">
        <f t="shared" si="96"/>
        <v>0</v>
      </c>
      <c r="O977" s="432"/>
      <c r="P977" s="433"/>
      <c r="Q977" s="433"/>
      <c r="R977" s="433"/>
      <c r="S977" s="433"/>
      <c r="T977" s="434"/>
    </row>
    <row r="978" spans="4:20">
      <c r="D978" s="63"/>
      <c r="L978" s="9"/>
      <c r="M978" s="67"/>
      <c r="N978" s="432">
        <f t="shared" si="96"/>
        <v>0</v>
      </c>
      <c r="O978" s="432"/>
      <c r="P978" s="433"/>
      <c r="Q978" s="433"/>
      <c r="R978" s="433"/>
      <c r="S978" s="433"/>
      <c r="T978" s="434"/>
    </row>
    <row r="979" spans="4:20">
      <c r="D979" s="63"/>
      <c r="L979" s="9"/>
      <c r="M979" s="67"/>
      <c r="N979" s="432">
        <f t="shared" si="96"/>
        <v>0</v>
      </c>
      <c r="O979" s="432"/>
      <c r="P979" s="433"/>
      <c r="Q979" s="433"/>
      <c r="R979" s="433"/>
      <c r="S979" s="433"/>
      <c r="T979" s="434"/>
    </row>
    <row r="980" spans="4:20">
      <c r="D980" s="63"/>
      <c r="M980" s="67"/>
      <c r="N980" s="432">
        <f t="shared" si="96"/>
        <v>0</v>
      </c>
      <c r="O980" s="432"/>
      <c r="P980" s="433"/>
      <c r="Q980" s="433"/>
      <c r="R980" s="433"/>
      <c r="S980" s="433"/>
      <c r="T980" s="434"/>
    </row>
    <row r="981" spans="4:20" ht="13" thickBot="1">
      <c r="D981" s="63"/>
      <c r="M981" s="67"/>
      <c r="N981" s="442">
        <f t="shared" si="96"/>
        <v>0</v>
      </c>
      <c r="O981" s="442"/>
      <c r="P981" s="442"/>
      <c r="Q981" s="442"/>
      <c r="R981" s="442"/>
      <c r="S981" s="442"/>
      <c r="T981" s="443"/>
    </row>
    <row r="982" spans="4:20" ht="13.5" thickBot="1">
      <c r="D982" s="68"/>
      <c r="E982" s="69" t="s">
        <v>607</v>
      </c>
      <c r="F982" s="69"/>
      <c r="G982" s="69"/>
      <c r="H982" s="69"/>
      <c r="I982" s="69"/>
      <c r="J982" s="69"/>
      <c r="K982" s="69"/>
      <c r="L982" s="69"/>
      <c r="M982" s="69"/>
      <c r="N982" s="435">
        <f>SUM(N972:O981)</f>
        <v>0</v>
      </c>
      <c r="O982" s="435"/>
      <c r="P982" s="81"/>
      <c r="Q982" s="81"/>
      <c r="R982" s="81"/>
      <c r="S982" s="81"/>
      <c r="T982" s="70"/>
    </row>
    <row r="983" spans="4:20" ht="13" thickBot="1">
      <c r="D983" s="63"/>
      <c r="E983" s="9" t="s">
        <v>608</v>
      </c>
      <c r="N983" s="436"/>
      <c r="O983" s="436"/>
      <c r="P983" s="436"/>
      <c r="Q983" s="436"/>
      <c r="R983" s="436"/>
      <c r="S983" s="436"/>
      <c r="T983" s="437"/>
    </row>
    <row r="984" spans="4:20" ht="13.5" thickBot="1">
      <c r="D984" s="68"/>
      <c r="E984" s="69" t="s">
        <v>607</v>
      </c>
      <c r="F984" s="69"/>
      <c r="G984" s="69"/>
      <c r="H984" s="69"/>
      <c r="I984" s="69"/>
      <c r="J984" s="69"/>
      <c r="K984" s="69"/>
      <c r="L984" s="69"/>
      <c r="M984" s="69"/>
      <c r="N984" s="435">
        <f>SUM(N982:O983)</f>
        <v>0</v>
      </c>
      <c r="O984" s="435"/>
      <c r="P984" s="81"/>
      <c r="Q984" s="81"/>
      <c r="R984" s="81"/>
      <c r="S984" s="81"/>
      <c r="T984" s="70"/>
    </row>
    <row r="985" spans="4:20">
      <c r="D985" s="63"/>
      <c r="E985" s="9" t="s">
        <v>123</v>
      </c>
      <c r="K985" s="71" t="e">
        <f>GL</f>
        <v>#REF!</v>
      </c>
      <c r="N985" s="432" t="e">
        <f>$W993*$K985</f>
        <v>#REF!</v>
      </c>
      <c r="O985" s="432"/>
      <c r="P985" s="439"/>
      <c r="Q985" s="439"/>
      <c r="R985" s="439"/>
      <c r="S985" s="439"/>
      <c r="T985" s="440"/>
    </row>
    <row r="986" spans="4:20">
      <c r="D986" s="63"/>
      <c r="E986" s="9" t="s">
        <v>124</v>
      </c>
      <c r="K986" s="78" t="e">
        <f>BR</f>
        <v>#REF!</v>
      </c>
      <c r="N986" s="432" t="e">
        <f>$W993*$K986</f>
        <v>#REF!</v>
      </c>
      <c r="O986" s="432"/>
      <c r="P986" s="432"/>
      <c r="Q986" s="432"/>
      <c r="R986" s="432"/>
      <c r="S986" s="432"/>
      <c r="T986" s="441"/>
    </row>
    <row r="987" spans="4:20">
      <c r="D987" s="63"/>
      <c r="E987" s="9" t="s">
        <v>609</v>
      </c>
      <c r="K987" s="78" t="e">
        <f>PERMIT</f>
        <v>#REF!</v>
      </c>
      <c r="N987" s="432" t="e">
        <f>$W993*$K987</f>
        <v>#REF!</v>
      </c>
      <c r="O987" s="432"/>
      <c r="P987" s="432"/>
      <c r="Q987" s="432"/>
      <c r="R987" s="432"/>
      <c r="S987" s="432"/>
      <c r="T987" s="441"/>
    </row>
    <row r="988" spans="4:20">
      <c r="D988" s="63"/>
      <c r="E988" s="9" t="s">
        <v>610</v>
      </c>
      <c r="K988" s="79" t="e">
        <f>SDI</f>
        <v>#REF!</v>
      </c>
      <c r="N988" s="432" t="e">
        <f>N982*$K988</f>
        <v>#REF!</v>
      </c>
      <c r="O988" s="432"/>
      <c r="P988" s="432"/>
      <c r="Q988" s="432"/>
      <c r="R988" s="432"/>
      <c r="S988" s="432"/>
      <c r="T988" s="441"/>
    </row>
    <row r="989" spans="4:20" ht="13" thickBot="1">
      <c r="D989" s="63"/>
      <c r="E989" s="9" t="s">
        <v>611</v>
      </c>
      <c r="K989" s="80">
        <v>0</v>
      </c>
      <c r="N989" s="432">
        <f>N983*$K989</f>
        <v>0</v>
      </c>
      <c r="O989" s="432"/>
      <c r="P989" s="432"/>
      <c r="Q989" s="432"/>
      <c r="R989" s="432"/>
      <c r="S989" s="432"/>
      <c r="T989" s="441"/>
    </row>
    <row r="990" spans="4:20" ht="13.5" thickBot="1">
      <c r="D990" s="68"/>
      <c r="E990" s="69" t="s">
        <v>607</v>
      </c>
      <c r="F990" s="69"/>
      <c r="G990" s="69"/>
      <c r="H990" s="69"/>
      <c r="I990" s="69"/>
      <c r="J990" s="69"/>
      <c r="K990" s="69"/>
      <c r="L990" s="69"/>
      <c r="M990" s="69"/>
      <c r="N990" s="435" t="e">
        <f>SUM(N984:O989)</f>
        <v>#REF!</v>
      </c>
      <c r="O990" s="435"/>
      <c r="P990" s="81"/>
      <c r="Q990" s="81"/>
      <c r="R990" s="81"/>
      <c r="S990" s="81"/>
      <c r="T990" s="70"/>
    </row>
    <row r="991" spans="4:20">
      <c r="D991" s="63"/>
      <c r="E991" s="9" t="s">
        <v>612</v>
      </c>
      <c r="K991" s="72" t="e">
        <f>DESIGN_CONT.</f>
        <v>#REF!</v>
      </c>
      <c r="N991" s="439" t="e">
        <f>N990*$K991</f>
        <v>#REF!</v>
      </c>
      <c r="O991" s="439"/>
      <c r="P991" s="439"/>
      <c r="Q991" s="439"/>
      <c r="R991" s="439"/>
      <c r="S991" s="439"/>
      <c r="T991" s="440"/>
    </row>
    <row r="992" spans="4:20" ht="13" thickBot="1">
      <c r="D992" s="63"/>
      <c r="E992" s="9" t="s">
        <v>613</v>
      </c>
      <c r="K992" s="72" t="e">
        <f>CONTINGENCY</f>
        <v>#REF!</v>
      </c>
      <c r="N992" s="442" t="e">
        <f>N990*$K992</f>
        <v>#REF!</v>
      </c>
      <c r="O992" s="442"/>
      <c r="P992" s="442"/>
      <c r="Q992" s="442"/>
      <c r="R992" s="442"/>
      <c r="S992" s="442"/>
      <c r="T992" s="443"/>
    </row>
    <row r="993" spans="3:22" ht="13.5" thickBot="1">
      <c r="C993" s="1">
        <v>32</v>
      </c>
      <c r="D993" s="68"/>
      <c r="E993" s="69" t="s">
        <v>607</v>
      </c>
      <c r="F993" s="69"/>
      <c r="G993" s="69"/>
      <c r="H993" s="69"/>
      <c r="I993" s="69"/>
      <c r="J993" s="69"/>
      <c r="K993" s="69"/>
      <c r="L993" s="69"/>
      <c r="M993" s="69"/>
      <c r="N993" s="435" t="e">
        <f>SUM(N990:O992)</f>
        <v>#REF!</v>
      </c>
      <c r="O993" s="435"/>
      <c r="P993" s="81"/>
      <c r="Q993" s="81"/>
      <c r="R993" s="81"/>
      <c r="S993" s="81"/>
      <c r="T993" s="70"/>
      <c r="V993" s="76" t="s">
        <v>614</v>
      </c>
    </row>
    <row r="994" spans="3:22" ht="13" thickBot="1">
      <c r="D994" s="63"/>
      <c r="E994" s="9" t="s">
        <v>615</v>
      </c>
      <c r="K994" s="72" t="e">
        <f>FEE</f>
        <v>#REF!</v>
      </c>
      <c r="N994" s="436" t="e">
        <f>N993*$K994</f>
        <v>#REF!</v>
      </c>
      <c r="O994" s="436"/>
      <c r="P994" s="436"/>
      <c r="Q994" s="436"/>
      <c r="R994" s="436"/>
      <c r="S994" s="436"/>
      <c r="T994" s="437"/>
    </row>
    <row r="995" spans="3:22" ht="13.5" thickBot="1">
      <c r="D995" s="68"/>
      <c r="E995" s="69" t="s">
        <v>607</v>
      </c>
      <c r="F995" s="69"/>
      <c r="G995" s="69"/>
      <c r="H995" s="69"/>
      <c r="I995" s="69"/>
      <c r="J995" s="69"/>
      <c r="K995" s="69"/>
      <c r="L995" s="69"/>
      <c r="M995" s="69"/>
      <c r="N995" s="435" t="e">
        <f>SUM(N993:O994)</f>
        <v>#REF!</v>
      </c>
      <c r="O995" s="435"/>
      <c r="P995" s="81"/>
      <c r="Q995" s="81"/>
      <c r="R995" s="81"/>
      <c r="S995" s="81"/>
      <c r="T995" s="70"/>
    </row>
    <row r="996" spans="3:22" ht="13" thickBot="1">
      <c r="D996" s="63"/>
      <c r="E996" s="9" t="s">
        <v>616</v>
      </c>
      <c r="K996" s="72">
        <v>0</v>
      </c>
      <c r="N996" s="436" t="e">
        <f>N995*$K996</f>
        <v>#REF!</v>
      </c>
      <c r="O996" s="436"/>
      <c r="P996" s="436"/>
      <c r="Q996" s="436"/>
      <c r="R996" s="436"/>
      <c r="S996" s="436"/>
      <c r="T996" s="437"/>
    </row>
    <row r="997" spans="3:22" ht="13.5" thickBot="1">
      <c r="D997" s="73"/>
      <c r="E997" s="74" t="s">
        <v>18</v>
      </c>
      <c r="F997" s="74"/>
      <c r="G997" s="74"/>
      <c r="H997" s="74"/>
      <c r="I997" s="74"/>
      <c r="J997" s="74"/>
      <c r="K997" s="74"/>
      <c r="L997" s="74"/>
      <c r="M997" s="74"/>
      <c r="N997" s="438" t="e">
        <f>SUM(N995:O996)</f>
        <v>#REF!</v>
      </c>
      <c r="O997" s="438"/>
      <c r="P997" s="82"/>
      <c r="Q997" s="82"/>
      <c r="R997" s="82"/>
      <c r="S997" s="82"/>
      <c r="T997" s="75"/>
      <c r="U997" s="398"/>
    </row>
    <row r="998" spans="3:22" ht="13" thickTop="1"/>
    <row r="999" spans="3:22" ht="13" thickBot="1"/>
    <row r="1000" spans="3:22" ht="13" thickTop="1">
      <c r="D1000" s="59" t="s">
        <v>572</v>
      </c>
      <c r="E1000" s="60" t="s">
        <v>573</v>
      </c>
      <c r="F1000" s="61"/>
      <c r="G1000" s="61"/>
      <c r="H1000" s="61"/>
      <c r="I1000" s="61"/>
      <c r="J1000" s="61"/>
      <c r="K1000" s="61"/>
      <c r="L1000" s="61"/>
      <c r="M1000" s="61"/>
      <c r="N1000" s="61"/>
      <c r="O1000" s="61"/>
      <c r="P1000" s="61"/>
      <c r="Q1000" s="61"/>
      <c r="R1000" s="61"/>
      <c r="S1000" s="61"/>
      <c r="T1000" s="62"/>
    </row>
    <row r="1001" spans="3:22">
      <c r="D1001" s="63" t="e">
        <f>#REF!</f>
        <v>#REF!</v>
      </c>
      <c r="E1001" t="e">
        <f>#REF!</f>
        <v>#REF!</v>
      </c>
      <c r="T1001" s="64"/>
    </row>
    <row r="1002" spans="3:22">
      <c r="D1002" s="65"/>
      <c r="E1002" s="66" t="s">
        <v>600</v>
      </c>
      <c r="F1002" s="66" t="s">
        <v>601</v>
      </c>
      <c r="G1002" s="45"/>
      <c r="H1002" s="45"/>
      <c r="I1002" s="45"/>
      <c r="J1002" s="45"/>
      <c r="K1002" s="374" t="s">
        <v>602</v>
      </c>
      <c r="L1002" s="374" t="s">
        <v>603</v>
      </c>
      <c r="M1002" s="374" t="s">
        <v>604</v>
      </c>
      <c r="N1002" s="444" t="s">
        <v>605</v>
      </c>
      <c r="O1002" s="444"/>
      <c r="P1002" s="444" t="s">
        <v>606</v>
      </c>
      <c r="Q1002" s="444"/>
      <c r="R1002" s="444"/>
      <c r="S1002" s="444"/>
      <c r="T1002" s="445"/>
    </row>
    <row r="1003" spans="3:22">
      <c r="D1003" s="63"/>
      <c r="M1003" s="67"/>
      <c r="N1003" s="446">
        <f t="shared" ref="N1003" si="99">K1003*M1003</f>
        <v>0</v>
      </c>
      <c r="O1003" s="446"/>
      <c r="P1003" s="446"/>
      <c r="Q1003" s="446"/>
      <c r="R1003" s="446"/>
      <c r="S1003" s="446"/>
      <c r="T1003" s="447"/>
    </row>
    <row r="1004" spans="3:22">
      <c r="D1004" s="63"/>
      <c r="L1004" s="9"/>
      <c r="M1004" s="67"/>
      <c r="N1004" s="432">
        <f>K1004*M1004</f>
        <v>0</v>
      </c>
      <c r="O1004" s="432"/>
      <c r="P1004" s="433"/>
      <c r="Q1004" s="433"/>
      <c r="R1004" s="433"/>
      <c r="S1004" s="433"/>
      <c r="T1004" s="434"/>
    </row>
    <row r="1005" spans="3:22">
      <c r="D1005" s="63"/>
      <c r="E1005" s="9"/>
      <c r="L1005" s="9"/>
      <c r="M1005" s="67"/>
      <c r="N1005" s="432">
        <f t="shared" ref="N1005:N1010" si="100">K1005*M1005</f>
        <v>0</v>
      </c>
      <c r="O1005" s="432"/>
      <c r="P1005" s="433"/>
      <c r="Q1005" s="433"/>
      <c r="R1005" s="433"/>
      <c r="S1005" s="433"/>
      <c r="T1005" s="434"/>
    </row>
    <row r="1006" spans="3:22">
      <c r="D1006" s="63"/>
      <c r="L1006" s="9"/>
      <c r="M1006" s="67"/>
      <c r="N1006" s="432">
        <f t="shared" si="100"/>
        <v>0</v>
      </c>
      <c r="O1006" s="432"/>
      <c r="P1006" s="433"/>
      <c r="Q1006" s="433"/>
      <c r="R1006" s="433"/>
      <c r="S1006" s="433"/>
      <c r="T1006" s="434"/>
    </row>
    <row r="1007" spans="3:22">
      <c r="D1007" s="63"/>
      <c r="L1007" s="9"/>
      <c r="M1007" s="67"/>
      <c r="N1007" s="432">
        <f t="shared" si="100"/>
        <v>0</v>
      </c>
      <c r="O1007" s="432"/>
      <c r="P1007" s="433"/>
      <c r="Q1007" s="433"/>
      <c r="R1007" s="433"/>
      <c r="S1007" s="433"/>
      <c r="T1007" s="434"/>
    </row>
    <row r="1008" spans="3:22">
      <c r="D1008" s="63"/>
      <c r="L1008" s="9"/>
      <c r="M1008" s="67"/>
      <c r="N1008" s="432">
        <f t="shared" si="100"/>
        <v>0</v>
      </c>
      <c r="O1008" s="432"/>
      <c r="P1008" s="433"/>
      <c r="Q1008" s="433"/>
      <c r="R1008" s="433"/>
      <c r="S1008" s="433"/>
      <c r="T1008" s="434"/>
    </row>
    <row r="1009" spans="3:22">
      <c r="D1009" s="63"/>
      <c r="M1009" s="67"/>
      <c r="N1009" s="432">
        <f t="shared" si="100"/>
        <v>0</v>
      </c>
      <c r="O1009" s="432"/>
      <c r="P1009" s="433"/>
      <c r="Q1009" s="433"/>
      <c r="R1009" s="433"/>
      <c r="S1009" s="433"/>
      <c r="T1009" s="434"/>
    </row>
    <row r="1010" spans="3:22" ht="13" thickBot="1">
      <c r="D1010" s="63"/>
      <c r="M1010" s="67"/>
      <c r="N1010" s="442">
        <f t="shared" si="100"/>
        <v>0</v>
      </c>
      <c r="O1010" s="442"/>
      <c r="P1010" s="442"/>
      <c r="Q1010" s="442"/>
      <c r="R1010" s="442"/>
      <c r="S1010" s="442"/>
      <c r="T1010" s="443"/>
    </row>
    <row r="1011" spans="3:22" ht="13.5" thickBot="1">
      <c r="D1011" s="68"/>
      <c r="E1011" s="69" t="s">
        <v>607</v>
      </c>
      <c r="F1011" s="69"/>
      <c r="G1011" s="69"/>
      <c r="H1011" s="69"/>
      <c r="I1011" s="69"/>
      <c r="J1011" s="69"/>
      <c r="K1011" s="69"/>
      <c r="L1011" s="69"/>
      <c r="M1011" s="69"/>
      <c r="N1011" s="435">
        <f>SUM(N1002:O1010)</f>
        <v>0</v>
      </c>
      <c r="O1011" s="435"/>
      <c r="P1011" s="81"/>
      <c r="Q1011" s="81"/>
      <c r="R1011" s="81"/>
      <c r="S1011" s="81"/>
      <c r="T1011" s="70"/>
    </row>
    <row r="1012" spans="3:22" ht="13" thickBot="1">
      <c r="D1012" s="63"/>
      <c r="E1012" s="9" t="s">
        <v>608</v>
      </c>
      <c r="N1012" s="436"/>
      <c r="O1012" s="436"/>
      <c r="P1012" s="436"/>
      <c r="Q1012" s="436"/>
      <c r="R1012" s="436"/>
      <c r="S1012" s="436"/>
      <c r="T1012" s="437"/>
    </row>
    <row r="1013" spans="3:22" ht="13.5" thickBot="1">
      <c r="D1013" s="68"/>
      <c r="E1013" s="69" t="s">
        <v>607</v>
      </c>
      <c r="F1013" s="69"/>
      <c r="G1013" s="69"/>
      <c r="H1013" s="69"/>
      <c r="I1013" s="69"/>
      <c r="J1013" s="69"/>
      <c r="K1013" s="69"/>
      <c r="L1013" s="69"/>
      <c r="M1013" s="69"/>
      <c r="N1013" s="435">
        <f>SUM(N1011:O1012)</f>
        <v>0</v>
      </c>
      <c r="O1013" s="435"/>
      <c r="P1013" s="81"/>
      <c r="Q1013" s="81"/>
      <c r="R1013" s="81"/>
      <c r="S1013" s="81"/>
      <c r="T1013" s="70"/>
    </row>
    <row r="1014" spans="3:22">
      <c r="D1014" s="63"/>
      <c r="E1014" s="9" t="s">
        <v>123</v>
      </c>
      <c r="K1014" s="71" t="e">
        <f>GL</f>
        <v>#REF!</v>
      </c>
      <c r="N1014" s="432" t="e">
        <f>$W1022*$K1014</f>
        <v>#REF!</v>
      </c>
      <c r="O1014" s="432"/>
      <c r="P1014" s="439"/>
      <c r="Q1014" s="439"/>
      <c r="R1014" s="439"/>
      <c r="S1014" s="439"/>
      <c r="T1014" s="440"/>
    </row>
    <row r="1015" spans="3:22">
      <c r="D1015" s="63"/>
      <c r="E1015" s="9" t="s">
        <v>124</v>
      </c>
      <c r="K1015" s="78" t="e">
        <f>BR</f>
        <v>#REF!</v>
      </c>
      <c r="N1015" s="432" t="e">
        <f>$W1022*$K1015</f>
        <v>#REF!</v>
      </c>
      <c r="O1015" s="432"/>
      <c r="P1015" s="432"/>
      <c r="Q1015" s="432"/>
      <c r="R1015" s="432"/>
      <c r="S1015" s="432"/>
      <c r="T1015" s="441"/>
    </row>
    <row r="1016" spans="3:22">
      <c r="D1016" s="63"/>
      <c r="E1016" s="9" t="s">
        <v>609</v>
      </c>
      <c r="K1016" s="78" t="e">
        <f>PERMIT</f>
        <v>#REF!</v>
      </c>
      <c r="N1016" s="432" t="e">
        <f>$W1022*$K1016</f>
        <v>#REF!</v>
      </c>
      <c r="O1016" s="432"/>
      <c r="P1016" s="432"/>
      <c r="Q1016" s="432"/>
      <c r="R1016" s="432"/>
      <c r="S1016" s="432"/>
      <c r="T1016" s="441"/>
    </row>
    <row r="1017" spans="3:22">
      <c r="D1017" s="63"/>
      <c r="E1017" s="9" t="s">
        <v>610</v>
      </c>
      <c r="K1017" s="79" t="e">
        <f>SDI</f>
        <v>#REF!</v>
      </c>
      <c r="N1017" s="432" t="e">
        <f>N1011*$K1017</f>
        <v>#REF!</v>
      </c>
      <c r="O1017" s="432"/>
      <c r="P1017" s="432"/>
      <c r="Q1017" s="432"/>
      <c r="R1017" s="432"/>
      <c r="S1017" s="432"/>
      <c r="T1017" s="441"/>
    </row>
    <row r="1018" spans="3:22" ht="13" thickBot="1">
      <c r="D1018" s="63"/>
      <c r="E1018" s="9" t="s">
        <v>611</v>
      </c>
      <c r="K1018" s="80">
        <v>0</v>
      </c>
      <c r="N1018" s="432">
        <f>N1012*$K1018</f>
        <v>0</v>
      </c>
      <c r="O1018" s="432"/>
      <c r="P1018" s="432"/>
      <c r="Q1018" s="432"/>
      <c r="R1018" s="432"/>
      <c r="S1018" s="432"/>
      <c r="T1018" s="441"/>
    </row>
    <row r="1019" spans="3:22" ht="13.5" thickBot="1">
      <c r="D1019" s="68"/>
      <c r="E1019" s="69" t="s">
        <v>607</v>
      </c>
      <c r="F1019" s="69"/>
      <c r="G1019" s="69"/>
      <c r="H1019" s="69"/>
      <c r="I1019" s="69"/>
      <c r="J1019" s="69"/>
      <c r="K1019" s="69"/>
      <c r="L1019" s="69"/>
      <c r="M1019" s="69"/>
      <c r="N1019" s="435" t="e">
        <f>SUM(N1013:O1018)</f>
        <v>#REF!</v>
      </c>
      <c r="O1019" s="435"/>
      <c r="P1019" s="81"/>
      <c r="Q1019" s="81"/>
      <c r="R1019" s="81"/>
      <c r="S1019" s="81"/>
      <c r="T1019" s="70"/>
    </row>
    <row r="1020" spans="3:22">
      <c r="D1020" s="63"/>
      <c r="E1020" s="9" t="s">
        <v>612</v>
      </c>
      <c r="K1020" s="72" t="e">
        <f>DESIGN_CONT.</f>
        <v>#REF!</v>
      </c>
      <c r="N1020" s="439" t="e">
        <f>N1019*$K1020</f>
        <v>#REF!</v>
      </c>
      <c r="O1020" s="439"/>
      <c r="P1020" s="439"/>
      <c r="Q1020" s="439"/>
      <c r="R1020" s="439"/>
      <c r="S1020" s="439"/>
      <c r="T1020" s="440"/>
    </row>
    <row r="1021" spans="3:22" ht="13" thickBot="1">
      <c r="D1021" s="63"/>
      <c r="E1021" s="9" t="s">
        <v>613</v>
      </c>
      <c r="K1021" s="72" t="e">
        <f>CONTINGENCY</f>
        <v>#REF!</v>
      </c>
      <c r="N1021" s="442" t="e">
        <f>N1019*$K1021</f>
        <v>#REF!</v>
      </c>
      <c r="O1021" s="442"/>
      <c r="P1021" s="442"/>
      <c r="Q1021" s="442"/>
      <c r="R1021" s="442"/>
      <c r="S1021" s="442"/>
      <c r="T1021" s="443"/>
    </row>
    <row r="1022" spans="3:22" ht="13.5" thickBot="1">
      <c r="C1022" s="1">
        <v>33</v>
      </c>
      <c r="D1022" s="68"/>
      <c r="E1022" s="69" t="s">
        <v>607</v>
      </c>
      <c r="F1022" s="69"/>
      <c r="G1022" s="69"/>
      <c r="H1022" s="69"/>
      <c r="I1022" s="69"/>
      <c r="J1022" s="69"/>
      <c r="K1022" s="69"/>
      <c r="L1022" s="69"/>
      <c r="M1022" s="69"/>
      <c r="N1022" s="435" t="e">
        <f>SUM(N1019:O1021)</f>
        <v>#REF!</v>
      </c>
      <c r="O1022" s="435"/>
      <c r="P1022" s="81"/>
      <c r="Q1022" s="81"/>
      <c r="R1022" s="81"/>
      <c r="S1022" s="81"/>
      <c r="T1022" s="70"/>
      <c r="V1022" s="76" t="s">
        <v>614</v>
      </c>
    </row>
    <row r="1023" spans="3:22" ht="13" thickBot="1">
      <c r="D1023" s="63"/>
      <c r="E1023" s="9" t="s">
        <v>615</v>
      </c>
      <c r="K1023" s="72" t="e">
        <f>FEE</f>
        <v>#REF!</v>
      </c>
      <c r="N1023" s="436" t="e">
        <f>N1022*$K1023</f>
        <v>#REF!</v>
      </c>
      <c r="O1023" s="436"/>
      <c r="P1023" s="436"/>
      <c r="Q1023" s="436"/>
      <c r="R1023" s="436"/>
      <c r="S1023" s="436"/>
      <c r="T1023" s="437"/>
    </row>
    <row r="1024" spans="3:22" ht="13.5" thickBot="1">
      <c r="D1024" s="68"/>
      <c r="E1024" s="69" t="s">
        <v>607</v>
      </c>
      <c r="F1024" s="69"/>
      <c r="G1024" s="69"/>
      <c r="H1024" s="69"/>
      <c r="I1024" s="69"/>
      <c r="J1024" s="69"/>
      <c r="K1024" s="69"/>
      <c r="L1024" s="69"/>
      <c r="M1024" s="69"/>
      <c r="N1024" s="435" t="e">
        <f>SUM(N1022:O1023)</f>
        <v>#REF!</v>
      </c>
      <c r="O1024" s="435"/>
      <c r="P1024" s="81"/>
      <c r="Q1024" s="81"/>
      <c r="R1024" s="81"/>
      <c r="S1024" s="81"/>
      <c r="T1024" s="70"/>
    </row>
    <row r="1025" spans="4:20" ht="13" thickBot="1">
      <c r="D1025" s="63"/>
      <c r="E1025" s="9" t="s">
        <v>616</v>
      </c>
      <c r="K1025" s="72">
        <v>0</v>
      </c>
      <c r="N1025" s="436" t="e">
        <f>N1024*$K1025</f>
        <v>#REF!</v>
      </c>
      <c r="O1025" s="436"/>
      <c r="P1025" s="436"/>
      <c r="Q1025" s="436"/>
      <c r="R1025" s="436"/>
      <c r="S1025" s="436"/>
      <c r="T1025" s="437"/>
    </row>
    <row r="1026" spans="4:20" ht="13.5" thickBot="1">
      <c r="D1026" s="73"/>
      <c r="E1026" s="74" t="s">
        <v>18</v>
      </c>
      <c r="F1026" s="74"/>
      <c r="G1026" s="74"/>
      <c r="H1026" s="74"/>
      <c r="I1026" s="74"/>
      <c r="J1026" s="74"/>
      <c r="K1026" s="74"/>
      <c r="L1026" s="74"/>
      <c r="M1026" s="74"/>
      <c r="N1026" s="438" t="e">
        <f>SUM(N1024:O1025)</f>
        <v>#REF!</v>
      </c>
      <c r="O1026" s="438"/>
      <c r="P1026" s="82"/>
      <c r="Q1026" s="82"/>
      <c r="R1026" s="82"/>
      <c r="S1026" s="82"/>
      <c r="T1026" s="75"/>
    </row>
    <row r="1027" spans="4:20" ht="13" thickTop="1"/>
    <row r="1028" spans="4:20" ht="13" thickBot="1"/>
    <row r="1029" spans="4:20" ht="13" thickTop="1">
      <c r="D1029" s="59" t="s">
        <v>572</v>
      </c>
      <c r="E1029" s="60" t="s">
        <v>573</v>
      </c>
      <c r="F1029" s="61"/>
      <c r="G1029" s="61"/>
      <c r="H1029" s="61"/>
      <c r="I1029" s="61"/>
      <c r="J1029" s="61"/>
      <c r="K1029" s="61"/>
      <c r="L1029" s="61"/>
      <c r="M1029" s="61"/>
      <c r="N1029" s="61"/>
      <c r="O1029" s="61"/>
      <c r="P1029" s="61"/>
      <c r="Q1029" s="61"/>
      <c r="R1029" s="61"/>
      <c r="S1029" s="61"/>
      <c r="T1029" s="62"/>
    </row>
    <row r="1030" spans="4:20">
      <c r="D1030" s="63" t="e">
        <f>#REF!</f>
        <v>#REF!</v>
      </c>
      <c r="E1030" t="e">
        <f>#REF!</f>
        <v>#REF!</v>
      </c>
      <c r="T1030" s="64"/>
    </row>
    <row r="1031" spans="4:20">
      <c r="D1031" s="65"/>
      <c r="E1031" s="66" t="s">
        <v>600</v>
      </c>
      <c r="F1031" s="66" t="s">
        <v>601</v>
      </c>
      <c r="G1031" s="45"/>
      <c r="H1031" s="45"/>
      <c r="I1031" s="45"/>
      <c r="J1031" s="45"/>
      <c r="K1031" s="374" t="s">
        <v>602</v>
      </c>
      <c r="L1031" s="374" t="s">
        <v>603</v>
      </c>
      <c r="M1031" s="374" t="s">
        <v>604</v>
      </c>
      <c r="N1031" s="444" t="s">
        <v>605</v>
      </c>
      <c r="O1031" s="444"/>
      <c r="P1031" s="444" t="s">
        <v>606</v>
      </c>
      <c r="Q1031" s="444"/>
      <c r="R1031" s="444"/>
      <c r="S1031" s="444"/>
      <c r="T1031" s="445"/>
    </row>
    <row r="1032" spans="4:20">
      <c r="D1032" s="63"/>
      <c r="M1032" s="67"/>
      <c r="N1032" s="446">
        <f t="shared" ref="N1032" si="101">K1032*M1032</f>
        <v>0</v>
      </c>
      <c r="O1032" s="446"/>
      <c r="P1032" s="446"/>
      <c r="Q1032" s="446"/>
      <c r="R1032" s="446"/>
      <c r="S1032" s="446"/>
      <c r="T1032" s="447"/>
    </row>
    <row r="1033" spans="4:20">
      <c r="D1033" s="63"/>
      <c r="L1033" s="9"/>
      <c r="M1033" s="67"/>
      <c r="N1033" s="432">
        <f>K1033*M1033</f>
        <v>0</v>
      </c>
      <c r="O1033" s="432"/>
      <c r="P1033" s="433"/>
      <c r="Q1033" s="433"/>
      <c r="R1033" s="433"/>
      <c r="S1033" s="433"/>
      <c r="T1033" s="434"/>
    </row>
    <row r="1034" spans="4:20">
      <c r="D1034" s="63"/>
      <c r="E1034" s="9"/>
      <c r="L1034" s="9"/>
      <c r="M1034" s="67"/>
      <c r="N1034" s="432">
        <f t="shared" ref="N1034:N1047" si="102">K1034*M1034</f>
        <v>0</v>
      </c>
      <c r="O1034" s="432"/>
      <c r="P1034" s="433"/>
      <c r="Q1034" s="433"/>
      <c r="R1034" s="433"/>
      <c r="S1034" s="433"/>
      <c r="T1034" s="434"/>
    </row>
    <row r="1035" spans="4:20">
      <c r="D1035" s="63"/>
      <c r="L1035" s="9"/>
      <c r="M1035" s="67"/>
      <c r="N1035" s="432">
        <f t="shared" ref="N1035:N1037" si="103">K1035*M1035</f>
        <v>0</v>
      </c>
      <c r="O1035" s="432"/>
      <c r="P1035" s="433"/>
      <c r="Q1035" s="433"/>
      <c r="R1035" s="433"/>
      <c r="S1035" s="433"/>
      <c r="T1035" s="434"/>
    </row>
    <row r="1036" spans="4:20">
      <c r="D1036" s="63"/>
      <c r="L1036" s="9"/>
      <c r="M1036" s="67"/>
      <c r="N1036" s="432">
        <f t="shared" si="103"/>
        <v>0</v>
      </c>
      <c r="O1036" s="432"/>
      <c r="P1036" s="433"/>
      <c r="Q1036" s="433"/>
      <c r="R1036" s="433"/>
      <c r="S1036" s="433"/>
      <c r="T1036" s="434"/>
    </row>
    <row r="1037" spans="4:20">
      <c r="D1037" s="63"/>
      <c r="L1037" s="9"/>
      <c r="M1037" s="67"/>
      <c r="N1037" s="432">
        <f t="shared" si="103"/>
        <v>0</v>
      </c>
      <c r="O1037" s="432"/>
      <c r="P1037" s="433"/>
      <c r="Q1037" s="433"/>
      <c r="R1037" s="433"/>
      <c r="S1037" s="433"/>
      <c r="T1037" s="434"/>
    </row>
    <row r="1038" spans="4:20">
      <c r="D1038" s="63"/>
      <c r="L1038" s="9"/>
      <c r="M1038" s="67"/>
      <c r="N1038" s="432">
        <f t="shared" si="102"/>
        <v>0</v>
      </c>
      <c r="O1038" s="432"/>
      <c r="P1038" s="433"/>
      <c r="Q1038" s="433"/>
      <c r="R1038" s="433"/>
      <c r="S1038" s="433"/>
      <c r="T1038" s="434"/>
    </row>
    <row r="1039" spans="4:20">
      <c r="D1039" s="63"/>
      <c r="L1039" s="9"/>
      <c r="M1039" s="67"/>
      <c r="N1039" s="432">
        <f t="shared" si="102"/>
        <v>0</v>
      </c>
      <c r="O1039" s="432"/>
      <c r="P1039" s="433"/>
      <c r="Q1039" s="433"/>
      <c r="R1039" s="433"/>
      <c r="S1039" s="433"/>
      <c r="T1039" s="434"/>
    </row>
    <row r="1040" spans="4:20">
      <c r="D1040" s="63"/>
      <c r="L1040" s="9"/>
      <c r="M1040" s="67"/>
      <c r="N1040" s="432">
        <f t="shared" ref="N1040:N1041" si="104">K1040*M1040</f>
        <v>0</v>
      </c>
      <c r="O1040" s="432"/>
      <c r="P1040" s="433"/>
      <c r="Q1040" s="433"/>
      <c r="R1040" s="433"/>
      <c r="S1040" s="433"/>
      <c r="T1040" s="434"/>
    </row>
    <row r="1041" spans="4:20">
      <c r="D1041" s="63"/>
      <c r="L1041" s="9"/>
      <c r="M1041" s="67"/>
      <c r="N1041" s="432">
        <f t="shared" si="104"/>
        <v>0</v>
      </c>
      <c r="O1041" s="432"/>
      <c r="P1041" s="433"/>
      <c r="Q1041" s="433"/>
      <c r="R1041" s="433"/>
      <c r="S1041" s="433"/>
      <c r="T1041" s="434"/>
    </row>
    <row r="1042" spans="4:20">
      <c r="D1042" s="63"/>
      <c r="L1042" s="9"/>
      <c r="M1042" s="67"/>
      <c r="N1042" s="432">
        <f t="shared" si="102"/>
        <v>0</v>
      </c>
      <c r="O1042" s="432"/>
      <c r="P1042" s="433"/>
      <c r="Q1042" s="433"/>
      <c r="R1042" s="433"/>
      <c r="S1042" s="433"/>
      <c r="T1042" s="434"/>
    </row>
    <row r="1043" spans="4:20">
      <c r="D1043" s="63"/>
      <c r="L1043" s="9"/>
      <c r="M1043" s="67"/>
      <c r="N1043" s="432">
        <f t="shared" si="102"/>
        <v>0</v>
      </c>
      <c r="O1043" s="432"/>
      <c r="P1043" s="433"/>
      <c r="Q1043" s="433"/>
      <c r="R1043" s="433"/>
      <c r="S1043" s="433"/>
      <c r="T1043" s="434"/>
    </row>
    <row r="1044" spans="4:20">
      <c r="D1044" s="63"/>
      <c r="L1044" s="9"/>
      <c r="M1044" s="67"/>
      <c r="N1044" s="432">
        <f t="shared" ref="N1044" si="105">K1044*M1044</f>
        <v>0</v>
      </c>
      <c r="O1044" s="432"/>
      <c r="P1044" s="433"/>
      <c r="Q1044" s="433"/>
      <c r="R1044" s="433"/>
      <c r="S1044" s="433"/>
      <c r="T1044" s="434"/>
    </row>
    <row r="1045" spans="4:20">
      <c r="D1045" s="63"/>
      <c r="L1045" s="9"/>
      <c r="M1045" s="67"/>
      <c r="N1045" s="432">
        <f t="shared" ref="N1045" si="106">K1045*M1045</f>
        <v>0</v>
      </c>
      <c r="O1045" s="432"/>
      <c r="P1045" s="433"/>
      <c r="Q1045" s="433"/>
      <c r="R1045" s="433"/>
      <c r="S1045" s="433"/>
      <c r="T1045" s="434"/>
    </row>
    <row r="1046" spans="4:20">
      <c r="D1046" s="63"/>
      <c r="M1046" s="67"/>
      <c r="N1046" s="432">
        <f t="shared" si="102"/>
        <v>0</v>
      </c>
      <c r="O1046" s="432"/>
      <c r="P1046" s="433"/>
      <c r="Q1046" s="433"/>
      <c r="R1046" s="433"/>
      <c r="S1046" s="433"/>
      <c r="T1046" s="434"/>
    </row>
    <row r="1047" spans="4:20" ht="13" thickBot="1">
      <c r="D1047" s="63"/>
      <c r="M1047" s="67"/>
      <c r="N1047" s="442">
        <f t="shared" si="102"/>
        <v>0</v>
      </c>
      <c r="O1047" s="442"/>
      <c r="P1047" s="442"/>
      <c r="Q1047" s="442"/>
      <c r="R1047" s="442"/>
      <c r="S1047" s="442"/>
      <c r="T1047" s="443"/>
    </row>
    <row r="1048" spans="4:20" ht="13.5" thickBot="1">
      <c r="D1048" s="68"/>
      <c r="E1048" s="69" t="s">
        <v>607</v>
      </c>
      <c r="F1048" s="69"/>
      <c r="G1048" s="69"/>
      <c r="H1048" s="69"/>
      <c r="I1048" s="69"/>
      <c r="J1048" s="69"/>
      <c r="K1048" s="69"/>
      <c r="L1048" s="69"/>
      <c r="M1048" s="69"/>
      <c r="N1048" s="435">
        <f>SUM(N1031:O1047)</f>
        <v>0</v>
      </c>
      <c r="O1048" s="435"/>
      <c r="P1048" s="81"/>
      <c r="Q1048" s="81"/>
      <c r="R1048" s="81"/>
      <c r="S1048" s="81"/>
      <c r="T1048" s="70"/>
    </row>
    <row r="1049" spans="4:20" ht="13" thickBot="1">
      <c r="D1049" s="63"/>
      <c r="E1049" s="9" t="s">
        <v>608</v>
      </c>
      <c r="N1049" s="436"/>
      <c r="O1049" s="436"/>
      <c r="P1049" s="436"/>
      <c r="Q1049" s="436"/>
      <c r="R1049" s="436"/>
      <c r="S1049" s="436"/>
      <c r="T1049" s="437"/>
    </row>
    <row r="1050" spans="4:20" ht="13.5" thickBot="1">
      <c r="D1050" s="68"/>
      <c r="E1050" s="69" t="s">
        <v>607</v>
      </c>
      <c r="F1050" s="69"/>
      <c r="G1050" s="69"/>
      <c r="H1050" s="69"/>
      <c r="I1050" s="69"/>
      <c r="J1050" s="69"/>
      <c r="K1050" s="69"/>
      <c r="L1050" s="69"/>
      <c r="M1050" s="69"/>
      <c r="N1050" s="435">
        <f>SUM(N1048:O1049)</f>
        <v>0</v>
      </c>
      <c r="O1050" s="435"/>
      <c r="P1050" s="81"/>
      <c r="Q1050" s="81"/>
      <c r="R1050" s="81"/>
      <c r="S1050" s="81"/>
      <c r="T1050" s="70"/>
    </row>
    <row r="1051" spans="4:20">
      <c r="D1051" s="63"/>
      <c r="E1051" s="9" t="s">
        <v>123</v>
      </c>
      <c r="K1051" s="71" t="e">
        <f>GL</f>
        <v>#REF!</v>
      </c>
      <c r="N1051" s="432" t="e">
        <f>$W1059*$K1051</f>
        <v>#REF!</v>
      </c>
      <c r="O1051" s="432"/>
      <c r="P1051" s="439"/>
      <c r="Q1051" s="439"/>
      <c r="R1051" s="439"/>
      <c r="S1051" s="439"/>
      <c r="T1051" s="440"/>
    </row>
    <row r="1052" spans="4:20">
      <c r="D1052" s="63"/>
      <c r="E1052" s="9" t="s">
        <v>124</v>
      </c>
      <c r="K1052" s="78" t="e">
        <f>BR</f>
        <v>#REF!</v>
      </c>
      <c r="N1052" s="432" t="e">
        <f>$W1059*$K1052</f>
        <v>#REF!</v>
      </c>
      <c r="O1052" s="432"/>
      <c r="P1052" s="432"/>
      <c r="Q1052" s="432"/>
      <c r="R1052" s="432"/>
      <c r="S1052" s="432"/>
      <c r="T1052" s="441"/>
    </row>
    <row r="1053" spans="4:20">
      <c r="D1053" s="63"/>
      <c r="E1053" s="9" t="s">
        <v>609</v>
      </c>
      <c r="K1053" s="78" t="e">
        <f>PERMIT</f>
        <v>#REF!</v>
      </c>
      <c r="N1053" s="432" t="e">
        <f>$W1059*$K1053</f>
        <v>#REF!</v>
      </c>
      <c r="O1053" s="432"/>
      <c r="P1053" s="432"/>
      <c r="Q1053" s="432"/>
      <c r="R1053" s="432"/>
      <c r="S1053" s="432"/>
      <c r="T1053" s="441"/>
    </row>
    <row r="1054" spans="4:20">
      <c r="D1054" s="63"/>
      <c r="E1054" s="9" t="s">
        <v>610</v>
      </c>
      <c r="K1054" s="79" t="e">
        <f>SDI</f>
        <v>#REF!</v>
      </c>
      <c r="N1054" s="432" t="e">
        <f>N1048*$K1054</f>
        <v>#REF!</v>
      </c>
      <c r="O1054" s="432"/>
      <c r="P1054" s="432"/>
      <c r="Q1054" s="432"/>
      <c r="R1054" s="432"/>
      <c r="S1054" s="432"/>
      <c r="T1054" s="441"/>
    </row>
    <row r="1055" spans="4:20" ht="13" thickBot="1">
      <c r="D1055" s="63"/>
      <c r="E1055" s="9" t="s">
        <v>611</v>
      </c>
      <c r="K1055" s="80">
        <v>0</v>
      </c>
      <c r="N1055" s="432">
        <f>N1049*$K1055</f>
        <v>0</v>
      </c>
      <c r="O1055" s="432"/>
      <c r="P1055" s="432"/>
      <c r="Q1055" s="432"/>
      <c r="R1055" s="432"/>
      <c r="S1055" s="432"/>
      <c r="T1055" s="441"/>
    </row>
    <row r="1056" spans="4:20" ht="13.5" thickBot="1">
      <c r="D1056" s="68"/>
      <c r="E1056" s="69" t="s">
        <v>607</v>
      </c>
      <c r="F1056" s="69"/>
      <c r="G1056" s="69"/>
      <c r="H1056" s="69"/>
      <c r="I1056" s="69"/>
      <c r="J1056" s="69"/>
      <c r="K1056" s="69"/>
      <c r="L1056" s="69"/>
      <c r="M1056" s="69"/>
      <c r="N1056" s="435" t="e">
        <f>SUM(N1050:O1055)</f>
        <v>#REF!</v>
      </c>
      <c r="O1056" s="435"/>
      <c r="P1056" s="81"/>
      <c r="Q1056" s="81"/>
      <c r="R1056" s="81"/>
      <c r="S1056" s="81"/>
      <c r="T1056" s="70"/>
    </row>
    <row r="1057" spans="3:22">
      <c r="D1057" s="63"/>
      <c r="E1057" s="9" t="s">
        <v>612</v>
      </c>
      <c r="K1057" s="72" t="e">
        <f>DESIGN_CONT.</f>
        <v>#REF!</v>
      </c>
      <c r="N1057" s="439" t="e">
        <f>N1056*$K1057</f>
        <v>#REF!</v>
      </c>
      <c r="O1057" s="439"/>
      <c r="P1057" s="439"/>
      <c r="Q1057" s="439"/>
      <c r="R1057" s="439"/>
      <c r="S1057" s="439"/>
      <c r="T1057" s="440"/>
    </row>
    <row r="1058" spans="3:22" ht="13" thickBot="1">
      <c r="D1058" s="63"/>
      <c r="E1058" s="9" t="s">
        <v>613</v>
      </c>
      <c r="K1058" s="72" t="e">
        <f>CONTINGENCY</f>
        <v>#REF!</v>
      </c>
      <c r="N1058" s="442" t="e">
        <f>N1056*$K1058</f>
        <v>#REF!</v>
      </c>
      <c r="O1058" s="442"/>
      <c r="P1058" s="442"/>
      <c r="Q1058" s="442"/>
      <c r="R1058" s="442"/>
      <c r="S1058" s="442"/>
      <c r="T1058" s="443"/>
    </row>
    <row r="1059" spans="3:22" ht="13.5" thickBot="1">
      <c r="C1059" s="1">
        <v>34</v>
      </c>
      <c r="D1059" s="68"/>
      <c r="E1059" s="69" t="s">
        <v>607</v>
      </c>
      <c r="F1059" s="69"/>
      <c r="G1059" s="69"/>
      <c r="H1059" s="69"/>
      <c r="I1059" s="69"/>
      <c r="J1059" s="69"/>
      <c r="K1059" s="69"/>
      <c r="L1059" s="69"/>
      <c r="M1059" s="69"/>
      <c r="N1059" s="435" t="e">
        <f>SUM(N1056:O1058)</f>
        <v>#REF!</v>
      </c>
      <c r="O1059" s="435"/>
      <c r="P1059" s="81"/>
      <c r="Q1059" s="81"/>
      <c r="R1059" s="81"/>
      <c r="S1059" s="81"/>
      <c r="T1059" s="70"/>
      <c r="V1059" s="76" t="s">
        <v>614</v>
      </c>
    </row>
    <row r="1060" spans="3:22" ht="13" thickBot="1">
      <c r="C1060" s="1"/>
      <c r="D1060" s="63"/>
      <c r="E1060" s="9" t="s">
        <v>615</v>
      </c>
      <c r="K1060" s="72" t="e">
        <f>FEE</f>
        <v>#REF!</v>
      </c>
      <c r="N1060" s="436" t="e">
        <f>N1059*$K1060</f>
        <v>#REF!</v>
      </c>
      <c r="O1060" s="436"/>
      <c r="P1060" s="436"/>
      <c r="Q1060" s="436"/>
      <c r="R1060" s="436"/>
      <c r="S1060" s="436"/>
      <c r="T1060" s="437"/>
    </row>
    <row r="1061" spans="3:22" ht="13.5" thickBot="1">
      <c r="C1061" s="1"/>
      <c r="D1061" s="68"/>
      <c r="E1061" s="69" t="s">
        <v>607</v>
      </c>
      <c r="F1061" s="69"/>
      <c r="G1061" s="69"/>
      <c r="H1061" s="69"/>
      <c r="I1061" s="69"/>
      <c r="J1061" s="69"/>
      <c r="K1061" s="69"/>
      <c r="L1061" s="69"/>
      <c r="M1061" s="69"/>
      <c r="N1061" s="435" t="e">
        <f>SUM(N1059:O1060)</f>
        <v>#REF!</v>
      </c>
      <c r="O1061" s="435"/>
      <c r="P1061" s="81"/>
      <c r="Q1061" s="81"/>
      <c r="R1061" s="81"/>
      <c r="S1061" s="81"/>
      <c r="T1061" s="70"/>
    </row>
    <row r="1062" spans="3:22" ht="13" thickBot="1">
      <c r="D1062" s="63"/>
      <c r="E1062" s="9" t="s">
        <v>616</v>
      </c>
      <c r="K1062" s="72">
        <v>0</v>
      </c>
      <c r="N1062" s="436" t="e">
        <f>N1061*$K1062</f>
        <v>#REF!</v>
      </c>
      <c r="O1062" s="436"/>
      <c r="P1062" s="436"/>
      <c r="Q1062" s="436"/>
      <c r="R1062" s="436"/>
      <c r="S1062" s="436"/>
      <c r="T1062" s="437"/>
    </row>
    <row r="1063" spans="3:22" ht="13.5" thickBot="1">
      <c r="D1063" s="73"/>
      <c r="E1063" s="74" t="s">
        <v>18</v>
      </c>
      <c r="F1063" s="74"/>
      <c r="G1063" s="74"/>
      <c r="H1063" s="74"/>
      <c r="I1063" s="74"/>
      <c r="J1063" s="74"/>
      <c r="K1063" s="74"/>
      <c r="L1063" s="74"/>
      <c r="M1063" s="74"/>
      <c r="N1063" s="438" t="e">
        <f>SUM(N1061:O1062)</f>
        <v>#REF!</v>
      </c>
      <c r="O1063" s="438"/>
      <c r="P1063" s="82"/>
      <c r="Q1063" s="82"/>
      <c r="R1063" s="82"/>
      <c r="S1063" s="82"/>
      <c r="T1063" s="75"/>
      <c r="U1063" s="398"/>
    </row>
    <row r="1064" spans="3:22" ht="13" thickTop="1"/>
    <row r="1065" spans="3:22" ht="13" thickBot="1"/>
    <row r="1066" spans="3:22" ht="13" thickTop="1">
      <c r="D1066" s="59" t="s">
        <v>572</v>
      </c>
      <c r="E1066" s="60" t="s">
        <v>573</v>
      </c>
      <c r="F1066" s="61"/>
      <c r="G1066" s="61"/>
      <c r="H1066" s="61"/>
      <c r="I1066" s="61"/>
      <c r="J1066" s="61"/>
      <c r="K1066" s="61"/>
      <c r="L1066" s="61"/>
      <c r="M1066" s="61"/>
      <c r="N1066" s="61"/>
      <c r="O1066" s="61"/>
      <c r="P1066" s="61"/>
      <c r="Q1066" s="61"/>
      <c r="R1066" s="61"/>
      <c r="S1066" s="61"/>
      <c r="T1066" s="62"/>
    </row>
    <row r="1067" spans="3:22">
      <c r="D1067" s="63" t="e">
        <f>#REF!</f>
        <v>#REF!</v>
      </c>
      <c r="E1067" t="e">
        <f>#REF!</f>
        <v>#REF!</v>
      </c>
      <c r="T1067" s="64"/>
    </row>
    <row r="1068" spans="3:22">
      <c r="D1068" s="65"/>
      <c r="E1068" s="66" t="s">
        <v>600</v>
      </c>
      <c r="F1068" s="66" t="s">
        <v>601</v>
      </c>
      <c r="G1068" s="45"/>
      <c r="H1068" s="45"/>
      <c r="I1068" s="45"/>
      <c r="J1068" s="45"/>
      <c r="K1068" s="374" t="s">
        <v>602</v>
      </c>
      <c r="L1068" s="374" t="s">
        <v>603</v>
      </c>
      <c r="M1068" s="374" t="s">
        <v>604</v>
      </c>
      <c r="N1068" s="444" t="s">
        <v>605</v>
      </c>
      <c r="O1068" s="444"/>
      <c r="P1068" s="444" t="s">
        <v>606</v>
      </c>
      <c r="Q1068" s="444"/>
      <c r="R1068" s="444"/>
      <c r="S1068" s="444"/>
      <c r="T1068" s="445"/>
    </row>
    <row r="1069" spans="3:22">
      <c r="D1069" s="63"/>
      <c r="M1069" s="67"/>
      <c r="N1069" s="446">
        <f t="shared" ref="N1069" si="107">K1069*M1069</f>
        <v>0</v>
      </c>
      <c r="O1069" s="446"/>
      <c r="P1069" s="446"/>
      <c r="Q1069" s="446"/>
      <c r="R1069" s="446"/>
      <c r="S1069" s="446"/>
      <c r="T1069" s="447"/>
    </row>
    <row r="1070" spans="3:22">
      <c r="D1070" s="63"/>
      <c r="L1070" s="9"/>
      <c r="M1070" s="67"/>
      <c r="N1070" s="432">
        <f>K1070*M1070</f>
        <v>0</v>
      </c>
      <c r="O1070" s="432"/>
      <c r="P1070" s="433"/>
      <c r="Q1070" s="433"/>
      <c r="R1070" s="433"/>
      <c r="S1070" s="433"/>
      <c r="T1070" s="434"/>
    </row>
    <row r="1071" spans="3:22">
      <c r="D1071" s="63"/>
      <c r="E1071" s="9"/>
      <c r="L1071" s="9"/>
      <c r="M1071" s="67"/>
      <c r="N1071" s="432">
        <f t="shared" ref="N1071:N1076" si="108">K1071*M1071</f>
        <v>0</v>
      </c>
      <c r="O1071" s="432"/>
      <c r="P1071" s="433"/>
      <c r="Q1071" s="433"/>
      <c r="R1071" s="433"/>
      <c r="S1071" s="433"/>
      <c r="T1071" s="434"/>
    </row>
    <row r="1072" spans="3:22">
      <c r="D1072" s="63"/>
      <c r="L1072" s="9"/>
      <c r="M1072" s="67"/>
      <c r="N1072" s="432">
        <f t="shared" si="108"/>
        <v>0</v>
      </c>
      <c r="O1072" s="432"/>
      <c r="P1072" s="433"/>
      <c r="Q1072" s="433"/>
      <c r="R1072" s="433"/>
      <c r="S1072" s="433"/>
      <c r="T1072" s="434"/>
    </row>
    <row r="1073" spans="3:22">
      <c r="D1073" s="63"/>
      <c r="L1073" s="9"/>
      <c r="M1073" s="67"/>
      <c r="N1073" s="432">
        <f t="shared" si="108"/>
        <v>0</v>
      </c>
      <c r="O1073" s="432"/>
      <c r="P1073" s="433"/>
      <c r="Q1073" s="433"/>
      <c r="R1073" s="433"/>
      <c r="S1073" s="433"/>
      <c r="T1073" s="434"/>
    </row>
    <row r="1074" spans="3:22">
      <c r="D1074" s="63"/>
      <c r="L1074" s="9"/>
      <c r="M1074" s="67"/>
      <c r="N1074" s="432">
        <f t="shared" si="108"/>
        <v>0</v>
      </c>
      <c r="O1074" s="432"/>
      <c r="P1074" s="433"/>
      <c r="Q1074" s="433"/>
      <c r="R1074" s="433"/>
      <c r="S1074" s="433"/>
      <c r="T1074" s="434"/>
    </row>
    <row r="1075" spans="3:22">
      <c r="D1075" s="63"/>
      <c r="M1075" s="67"/>
      <c r="N1075" s="432">
        <f t="shared" si="108"/>
        <v>0</v>
      </c>
      <c r="O1075" s="432"/>
      <c r="P1075" s="433"/>
      <c r="Q1075" s="433"/>
      <c r="R1075" s="433"/>
      <c r="S1075" s="433"/>
      <c r="T1075" s="434"/>
    </row>
    <row r="1076" spans="3:22" ht="13" thickBot="1">
      <c r="D1076" s="63"/>
      <c r="M1076" s="67"/>
      <c r="N1076" s="442">
        <f t="shared" si="108"/>
        <v>0</v>
      </c>
      <c r="O1076" s="442"/>
      <c r="P1076" s="442"/>
      <c r="Q1076" s="442"/>
      <c r="R1076" s="442"/>
      <c r="S1076" s="442"/>
      <c r="T1076" s="443"/>
    </row>
    <row r="1077" spans="3:22" ht="13.5" thickBot="1">
      <c r="D1077" s="68"/>
      <c r="E1077" s="69" t="s">
        <v>607</v>
      </c>
      <c r="F1077" s="69"/>
      <c r="G1077" s="69"/>
      <c r="H1077" s="69"/>
      <c r="I1077" s="69"/>
      <c r="J1077" s="69"/>
      <c r="K1077" s="69"/>
      <c r="L1077" s="69"/>
      <c r="M1077" s="69"/>
      <c r="N1077" s="435">
        <f>SUM(N1068:O1076)</f>
        <v>0</v>
      </c>
      <c r="O1077" s="435"/>
      <c r="P1077" s="81"/>
      <c r="Q1077" s="81"/>
      <c r="R1077" s="81"/>
      <c r="S1077" s="81"/>
      <c r="T1077" s="70"/>
    </row>
    <row r="1078" spans="3:22" ht="13" thickBot="1">
      <c r="D1078" s="63"/>
      <c r="E1078" s="9" t="s">
        <v>608</v>
      </c>
      <c r="N1078" s="436"/>
      <c r="O1078" s="436"/>
      <c r="P1078" s="436"/>
      <c r="Q1078" s="436"/>
      <c r="R1078" s="436"/>
      <c r="S1078" s="436"/>
      <c r="T1078" s="437"/>
    </row>
    <row r="1079" spans="3:22" ht="13.5" thickBot="1">
      <c r="D1079" s="68"/>
      <c r="E1079" s="69" t="s">
        <v>607</v>
      </c>
      <c r="F1079" s="69"/>
      <c r="G1079" s="69"/>
      <c r="H1079" s="69"/>
      <c r="I1079" s="69"/>
      <c r="J1079" s="69"/>
      <c r="K1079" s="69"/>
      <c r="L1079" s="69"/>
      <c r="M1079" s="69"/>
      <c r="N1079" s="435">
        <f>SUM(N1077:O1078)</f>
        <v>0</v>
      </c>
      <c r="O1079" s="435"/>
      <c r="P1079" s="81"/>
      <c r="Q1079" s="81"/>
      <c r="R1079" s="81"/>
      <c r="S1079" s="81"/>
      <c r="T1079" s="70"/>
    </row>
    <row r="1080" spans="3:22">
      <c r="D1080" s="63"/>
      <c r="E1080" s="9" t="s">
        <v>123</v>
      </c>
      <c r="K1080" s="71" t="e">
        <f>GL</f>
        <v>#REF!</v>
      </c>
      <c r="N1080" s="432" t="e">
        <f>$W1088*$K1080</f>
        <v>#REF!</v>
      </c>
      <c r="O1080" s="432"/>
      <c r="P1080" s="439"/>
      <c r="Q1080" s="439"/>
      <c r="R1080" s="439"/>
      <c r="S1080" s="439"/>
      <c r="T1080" s="440"/>
    </row>
    <row r="1081" spans="3:22">
      <c r="D1081" s="63"/>
      <c r="E1081" s="9" t="s">
        <v>124</v>
      </c>
      <c r="K1081" s="78" t="e">
        <f>BR</f>
        <v>#REF!</v>
      </c>
      <c r="N1081" s="432" t="e">
        <f>$W1088*$K1081</f>
        <v>#REF!</v>
      </c>
      <c r="O1081" s="432"/>
      <c r="P1081" s="432"/>
      <c r="Q1081" s="432"/>
      <c r="R1081" s="432"/>
      <c r="S1081" s="432"/>
      <c r="T1081" s="441"/>
    </row>
    <row r="1082" spans="3:22">
      <c r="D1082" s="63"/>
      <c r="E1082" s="9" t="s">
        <v>609</v>
      </c>
      <c r="K1082" s="78" t="e">
        <f>PERMIT</f>
        <v>#REF!</v>
      </c>
      <c r="N1082" s="432" t="e">
        <f>$W1088*$K1082</f>
        <v>#REF!</v>
      </c>
      <c r="O1082" s="432"/>
      <c r="P1082" s="432"/>
      <c r="Q1082" s="432"/>
      <c r="R1082" s="432"/>
      <c r="S1082" s="432"/>
      <c r="T1082" s="441"/>
    </row>
    <row r="1083" spans="3:22">
      <c r="D1083" s="63"/>
      <c r="E1083" s="9" t="s">
        <v>610</v>
      </c>
      <c r="K1083" s="79" t="e">
        <f>SDI</f>
        <v>#REF!</v>
      </c>
      <c r="N1083" s="432" t="e">
        <f>N1077*$K1083</f>
        <v>#REF!</v>
      </c>
      <c r="O1083" s="432"/>
      <c r="P1083" s="432"/>
      <c r="Q1083" s="432"/>
      <c r="R1083" s="432"/>
      <c r="S1083" s="432"/>
      <c r="T1083" s="441"/>
    </row>
    <row r="1084" spans="3:22" ht="13" thickBot="1">
      <c r="D1084" s="63"/>
      <c r="E1084" s="9" t="s">
        <v>611</v>
      </c>
      <c r="K1084" s="80">
        <v>0</v>
      </c>
      <c r="N1084" s="432">
        <f>N1078*$K1084</f>
        <v>0</v>
      </c>
      <c r="O1084" s="432"/>
      <c r="P1084" s="432"/>
      <c r="Q1084" s="432"/>
      <c r="R1084" s="432"/>
      <c r="S1084" s="432"/>
      <c r="T1084" s="441"/>
    </row>
    <row r="1085" spans="3:22" ht="13.5" thickBot="1">
      <c r="D1085" s="68"/>
      <c r="E1085" s="69" t="s">
        <v>607</v>
      </c>
      <c r="F1085" s="69"/>
      <c r="G1085" s="69"/>
      <c r="H1085" s="69"/>
      <c r="I1085" s="69"/>
      <c r="J1085" s="69"/>
      <c r="K1085" s="69"/>
      <c r="L1085" s="69"/>
      <c r="M1085" s="69"/>
      <c r="N1085" s="435" t="e">
        <f>SUM(N1079:O1084)</f>
        <v>#REF!</v>
      </c>
      <c r="O1085" s="435"/>
      <c r="P1085" s="81"/>
      <c r="Q1085" s="81"/>
      <c r="R1085" s="81"/>
      <c r="S1085" s="81"/>
      <c r="T1085" s="70"/>
    </row>
    <row r="1086" spans="3:22">
      <c r="D1086" s="63"/>
      <c r="E1086" s="9" t="s">
        <v>612</v>
      </c>
      <c r="K1086" s="72" t="e">
        <f>DESIGN_CONT.</f>
        <v>#REF!</v>
      </c>
      <c r="N1086" s="439" t="e">
        <f>N1085*$K1086</f>
        <v>#REF!</v>
      </c>
      <c r="O1086" s="439"/>
      <c r="P1086" s="439"/>
      <c r="Q1086" s="439"/>
      <c r="R1086" s="439"/>
      <c r="S1086" s="439"/>
      <c r="T1086" s="440"/>
    </row>
    <row r="1087" spans="3:22" ht="13" thickBot="1">
      <c r="D1087" s="63"/>
      <c r="E1087" s="9" t="s">
        <v>613</v>
      </c>
      <c r="K1087" s="72" t="e">
        <f>CONTINGENCY</f>
        <v>#REF!</v>
      </c>
      <c r="N1087" s="442" t="e">
        <f>N1085*$K1087</f>
        <v>#REF!</v>
      </c>
      <c r="O1087" s="442"/>
      <c r="P1087" s="442"/>
      <c r="Q1087" s="442"/>
      <c r="R1087" s="442"/>
      <c r="S1087" s="442"/>
      <c r="T1087" s="443"/>
    </row>
    <row r="1088" spans="3:22" ht="13.5" thickBot="1">
      <c r="C1088" s="1">
        <v>35</v>
      </c>
      <c r="D1088" s="68"/>
      <c r="E1088" s="69" t="s">
        <v>607</v>
      </c>
      <c r="F1088" s="69"/>
      <c r="G1088" s="69"/>
      <c r="H1088" s="69"/>
      <c r="I1088" s="69"/>
      <c r="J1088" s="69"/>
      <c r="K1088" s="69"/>
      <c r="L1088" s="69"/>
      <c r="M1088" s="69"/>
      <c r="N1088" s="435" t="e">
        <f>SUM(N1085:O1087)</f>
        <v>#REF!</v>
      </c>
      <c r="O1088" s="435"/>
      <c r="P1088" s="81"/>
      <c r="Q1088" s="81"/>
      <c r="R1088" s="81"/>
      <c r="S1088" s="81"/>
      <c r="T1088" s="70"/>
      <c r="V1088" s="76" t="s">
        <v>614</v>
      </c>
    </row>
    <row r="1089" spans="4:20" ht="13" thickBot="1">
      <c r="D1089" s="63"/>
      <c r="E1089" s="9" t="s">
        <v>615</v>
      </c>
      <c r="K1089" s="72" t="e">
        <f>FEE</f>
        <v>#REF!</v>
      </c>
      <c r="N1089" s="436" t="e">
        <f>N1088*$K1089</f>
        <v>#REF!</v>
      </c>
      <c r="O1089" s="436"/>
      <c r="P1089" s="436"/>
      <c r="Q1089" s="436"/>
      <c r="R1089" s="436"/>
      <c r="S1089" s="436"/>
      <c r="T1089" s="437"/>
    </row>
    <row r="1090" spans="4:20" ht="13.5" thickBot="1">
      <c r="D1090" s="68"/>
      <c r="E1090" s="69" t="s">
        <v>607</v>
      </c>
      <c r="F1090" s="69"/>
      <c r="G1090" s="69"/>
      <c r="H1090" s="69"/>
      <c r="I1090" s="69"/>
      <c r="J1090" s="69"/>
      <c r="K1090" s="69"/>
      <c r="L1090" s="69"/>
      <c r="M1090" s="69"/>
      <c r="N1090" s="435" t="e">
        <f>SUM(N1088:O1089)</f>
        <v>#REF!</v>
      </c>
      <c r="O1090" s="435"/>
      <c r="P1090" s="81"/>
      <c r="Q1090" s="81"/>
      <c r="R1090" s="81"/>
      <c r="S1090" s="81"/>
      <c r="T1090" s="70"/>
    </row>
    <row r="1091" spans="4:20" ht="13" thickBot="1">
      <c r="D1091" s="63"/>
      <c r="E1091" s="9" t="s">
        <v>616</v>
      </c>
      <c r="K1091" s="72">
        <v>0</v>
      </c>
      <c r="N1091" s="436" t="e">
        <f>N1090*$K1091</f>
        <v>#REF!</v>
      </c>
      <c r="O1091" s="436"/>
      <c r="P1091" s="436"/>
      <c r="Q1091" s="436"/>
      <c r="R1091" s="436"/>
      <c r="S1091" s="436"/>
      <c r="T1091" s="437"/>
    </row>
    <row r="1092" spans="4:20" ht="13.5" thickBot="1">
      <c r="D1092" s="73"/>
      <c r="E1092" s="74" t="s">
        <v>18</v>
      </c>
      <c r="F1092" s="74"/>
      <c r="G1092" s="74"/>
      <c r="H1092" s="74"/>
      <c r="I1092" s="74"/>
      <c r="J1092" s="74"/>
      <c r="K1092" s="74"/>
      <c r="L1092" s="74"/>
      <c r="M1092" s="74"/>
      <c r="N1092" s="438" t="e">
        <f>SUM(N1090:O1091)</f>
        <v>#REF!</v>
      </c>
      <c r="O1092" s="438"/>
      <c r="P1092" s="82"/>
      <c r="Q1092" s="82"/>
      <c r="R1092" s="82"/>
      <c r="S1092" s="82"/>
      <c r="T1092" s="75"/>
    </row>
    <row r="1093" spans="4:20" ht="13" thickTop="1"/>
    <row r="1094" spans="4:20" ht="13" thickBot="1"/>
    <row r="1095" spans="4:20" ht="13" thickTop="1">
      <c r="D1095" s="59" t="s">
        <v>572</v>
      </c>
      <c r="E1095" s="60" t="s">
        <v>573</v>
      </c>
      <c r="F1095" s="61"/>
      <c r="G1095" s="61"/>
      <c r="H1095" s="61"/>
      <c r="I1095" s="61"/>
      <c r="J1095" s="61"/>
      <c r="K1095" s="61"/>
      <c r="L1095" s="61"/>
      <c r="M1095" s="61"/>
      <c r="N1095" s="61"/>
      <c r="O1095" s="61"/>
      <c r="P1095" s="61"/>
      <c r="Q1095" s="61"/>
      <c r="R1095" s="61"/>
      <c r="S1095" s="61"/>
      <c r="T1095" s="62"/>
    </row>
    <row r="1096" spans="4:20">
      <c r="D1096" s="63" t="e">
        <f>#REF!</f>
        <v>#REF!</v>
      </c>
      <c r="E1096" t="e">
        <f>#REF!</f>
        <v>#REF!</v>
      </c>
      <c r="T1096" s="64"/>
    </row>
    <row r="1097" spans="4:20">
      <c r="D1097" s="65"/>
      <c r="E1097" s="66" t="s">
        <v>600</v>
      </c>
      <c r="F1097" s="66" t="s">
        <v>601</v>
      </c>
      <c r="G1097" s="45"/>
      <c r="H1097" s="45"/>
      <c r="I1097" s="45"/>
      <c r="J1097" s="45"/>
      <c r="K1097" s="374" t="s">
        <v>602</v>
      </c>
      <c r="L1097" s="374" t="s">
        <v>603</v>
      </c>
      <c r="M1097" s="374" t="s">
        <v>604</v>
      </c>
      <c r="N1097" s="444" t="s">
        <v>605</v>
      </c>
      <c r="O1097" s="444"/>
      <c r="P1097" s="444" t="s">
        <v>606</v>
      </c>
      <c r="Q1097" s="444"/>
      <c r="R1097" s="444"/>
      <c r="S1097" s="444"/>
      <c r="T1097" s="445"/>
    </row>
    <row r="1098" spans="4:20">
      <c r="D1098" s="63"/>
      <c r="M1098" s="67"/>
      <c r="N1098" s="446">
        <f t="shared" ref="N1098" si="109">K1098*M1098</f>
        <v>0</v>
      </c>
      <c r="O1098" s="446"/>
      <c r="P1098" s="446"/>
      <c r="Q1098" s="446"/>
      <c r="R1098" s="446"/>
      <c r="S1098" s="446"/>
      <c r="T1098" s="447"/>
    </row>
    <row r="1099" spans="4:20">
      <c r="D1099" s="63"/>
      <c r="L1099" s="9"/>
      <c r="M1099" s="67"/>
      <c r="N1099" s="432">
        <f>K1099*M1099</f>
        <v>0</v>
      </c>
      <c r="O1099" s="432"/>
      <c r="P1099" s="433"/>
      <c r="Q1099" s="433"/>
      <c r="R1099" s="433"/>
      <c r="S1099" s="433"/>
      <c r="T1099" s="434"/>
    </row>
    <row r="1100" spans="4:20">
      <c r="D1100" s="63"/>
      <c r="E1100" s="9"/>
      <c r="L1100" s="9"/>
      <c r="M1100" s="67"/>
      <c r="N1100" s="432">
        <f t="shared" ref="N1100:N1105" si="110">K1100*M1100</f>
        <v>0</v>
      </c>
      <c r="O1100" s="432"/>
      <c r="P1100" s="433"/>
      <c r="Q1100" s="433"/>
      <c r="R1100" s="433"/>
      <c r="S1100" s="433"/>
      <c r="T1100" s="434"/>
    </row>
    <row r="1101" spans="4:20">
      <c r="D1101" s="63"/>
      <c r="L1101" s="9"/>
      <c r="M1101" s="67"/>
      <c r="N1101" s="432">
        <f t="shared" si="110"/>
        <v>0</v>
      </c>
      <c r="O1101" s="432"/>
      <c r="P1101" s="433"/>
      <c r="Q1101" s="433"/>
      <c r="R1101" s="433"/>
      <c r="S1101" s="433"/>
      <c r="T1101" s="434"/>
    </row>
    <row r="1102" spans="4:20">
      <c r="D1102" s="63"/>
      <c r="L1102" s="9"/>
      <c r="M1102" s="67"/>
      <c r="N1102" s="432">
        <f t="shared" si="110"/>
        <v>0</v>
      </c>
      <c r="O1102" s="432"/>
      <c r="P1102" s="433"/>
      <c r="Q1102" s="433"/>
      <c r="R1102" s="433"/>
      <c r="S1102" s="433"/>
      <c r="T1102" s="434"/>
    </row>
    <row r="1103" spans="4:20">
      <c r="D1103" s="63"/>
      <c r="L1103" s="9"/>
      <c r="M1103" s="67"/>
      <c r="N1103" s="432">
        <f t="shared" si="110"/>
        <v>0</v>
      </c>
      <c r="O1103" s="432"/>
      <c r="P1103" s="433"/>
      <c r="Q1103" s="433"/>
      <c r="R1103" s="433"/>
      <c r="S1103" s="433"/>
      <c r="T1103" s="434"/>
    </row>
    <row r="1104" spans="4:20">
      <c r="D1104" s="63"/>
      <c r="M1104" s="67"/>
      <c r="N1104" s="432">
        <f t="shared" si="110"/>
        <v>0</v>
      </c>
      <c r="O1104" s="432"/>
      <c r="P1104" s="433"/>
      <c r="Q1104" s="433"/>
      <c r="R1104" s="433"/>
      <c r="S1104" s="433"/>
      <c r="T1104" s="434"/>
    </row>
    <row r="1105" spans="3:22" ht="13" thickBot="1">
      <c r="D1105" s="63"/>
      <c r="M1105" s="67"/>
      <c r="N1105" s="442">
        <f t="shared" si="110"/>
        <v>0</v>
      </c>
      <c r="O1105" s="442"/>
      <c r="P1105" s="442"/>
      <c r="Q1105" s="442"/>
      <c r="R1105" s="442"/>
      <c r="S1105" s="442"/>
      <c r="T1105" s="443"/>
    </row>
    <row r="1106" spans="3:22" ht="13.5" thickBot="1">
      <c r="D1106" s="68"/>
      <c r="E1106" s="69" t="s">
        <v>607</v>
      </c>
      <c r="F1106" s="69"/>
      <c r="G1106" s="69"/>
      <c r="H1106" s="69"/>
      <c r="I1106" s="69"/>
      <c r="J1106" s="69"/>
      <c r="K1106" s="69"/>
      <c r="L1106" s="69"/>
      <c r="M1106" s="69"/>
      <c r="N1106" s="435">
        <f>SUM(N1097:O1105)</f>
        <v>0</v>
      </c>
      <c r="O1106" s="435"/>
      <c r="P1106" s="81"/>
      <c r="Q1106" s="81"/>
      <c r="R1106" s="81"/>
      <c r="S1106" s="81"/>
      <c r="T1106" s="70"/>
    </row>
    <row r="1107" spans="3:22" ht="13" thickBot="1">
      <c r="D1107" s="63"/>
      <c r="E1107" s="9" t="s">
        <v>608</v>
      </c>
      <c r="N1107" s="436"/>
      <c r="O1107" s="436"/>
      <c r="P1107" s="436"/>
      <c r="Q1107" s="436"/>
      <c r="R1107" s="436"/>
      <c r="S1107" s="436"/>
      <c r="T1107" s="437"/>
    </row>
    <row r="1108" spans="3:22" ht="13.5" thickBot="1">
      <c r="D1108" s="68"/>
      <c r="E1108" s="69" t="s">
        <v>607</v>
      </c>
      <c r="F1108" s="69"/>
      <c r="G1108" s="69"/>
      <c r="H1108" s="69"/>
      <c r="I1108" s="69"/>
      <c r="J1108" s="69"/>
      <c r="K1108" s="69"/>
      <c r="L1108" s="69"/>
      <c r="M1108" s="69"/>
      <c r="N1108" s="435">
        <f>SUM(N1106:O1107)</f>
        <v>0</v>
      </c>
      <c r="O1108" s="435"/>
      <c r="P1108" s="81"/>
      <c r="Q1108" s="81"/>
      <c r="R1108" s="81"/>
      <c r="S1108" s="81"/>
      <c r="T1108" s="70"/>
    </row>
    <row r="1109" spans="3:22">
      <c r="D1109" s="63"/>
      <c r="E1109" s="9" t="s">
        <v>123</v>
      </c>
      <c r="K1109" s="71" t="e">
        <f>GL</f>
        <v>#REF!</v>
      </c>
      <c r="N1109" s="432" t="e">
        <f>$W1117*$K1109</f>
        <v>#REF!</v>
      </c>
      <c r="O1109" s="432"/>
      <c r="P1109" s="439"/>
      <c r="Q1109" s="439"/>
      <c r="R1109" s="439"/>
      <c r="S1109" s="439"/>
      <c r="T1109" s="440"/>
    </row>
    <row r="1110" spans="3:22">
      <c r="D1110" s="63"/>
      <c r="E1110" s="9" t="s">
        <v>124</v>
      </c>
      <c r="K1110" s="78" t="e">
        <f>BR</f>
        <v>#REF!</v>
      </c>
      <c r="N1110" s="432" t="e">
        <f>$W1117*$K1110</f>
        <v>#REF!</v>
      </c>
      <c r="O1110" s="432"/>
      <c r="P1110" s="432"/>
      <c r="Q1110" s="432"/>
      <c r="R1110" s="432"/>
      <c r="S1110" s="432"/>
      <c r="T1110" s="441"/>
    </row>
    <row r="1111" spans="3:22">
      <c r="D1111" s="63"/>
      <c r="E1111" s="9" t="s">
        <v>609</v>
      </c>
      <c r="K1111" s="78" t="e">
        <f>PERMIT</f>
        <v>#REF!</v>
      </c>
      <c r="N1111" s="432" t="e">
        <f>$W1117*$K1111</f>
        <v>#REF!</v>
      </c>
      <c r="O1111" s="432"/>
      <c r="P1111" s="432"/>
      <c r="Q1111" s="432"/>
      <c r="R1111" s="432"/>
      <c r="S1111" s="432"/>
      <c r="T1111" s="441"/>
    </row>
    <row r="1112" spans="3:22">
      <c r="D1112" s="63"/>
      <c r="E1112" s="9" t="s">
        <v>610</v>
      </c>
      <c r="K1112" s="79" t="e">
        <f>SDI</f>
        <v>#REF!</v>
      </c>
      <c r="N1112" s="432" t="e">
        <f>N1106*$K1112</f>
        <v>#REF!</v>
      </c>
      <c r="O1112" s="432"/>
      <c r="P1112" s="432"/>
      <c r="Q1112" s="432"/>
      <c r="R1112" s="432"/>
      <c r="S1112" s="432"/>
      <c r="T1112" s="441"/>
    </row>
    <row r="1113" spans="3:22" ht="13" thickBot="1">
      <c r="D1113" s="63"/>
      <c r="E1113" s="9" t="s">
        <v>611</v>
      </c>
      <c r="K1113" s="80">
        <v>0</v>
      </c>
      <c r="N1113" s="432">
        <f>N1107*$K1113</f>
        <v>0</v>
      </c>
      <c r="O1113" s="432"/>
      <c r="P1113" s="432"/>
      <c r="Q1113" s="432"/>
      <c r="R1113" s="432"/>
      <c r="S1113" s="432"/>
      <c r="T1113" s="441"/>
    </row>
    <row r="1114" spans="3:22" ht="13.5" thickBot="1">
      <c r="D1114" s="68"/>
      <c r="E1114" s="69" t="s">
        <v>607</v>
      </c>
      <c r="F1114" s="69"/>
      <c r="G1114" s="69"/>
      <c r="H1114" s="69"/>
      <c r="I1114" s="69"/>
      <c r="J1114" s="69"/>
      <c r="K1114" s="69"/>
      <c r="L1114" s="69"/>
      <c r="M1114" s="69"/>
      <c r="N1114" s="435" t="e">
        <f>SUM(N1108:O1113)</f>
        <v>#REF!</v>
      </c>
      <c r="O1114" s="435"/>
      <c r="P1114" s="81"/>
      <c r="Q1114" s="81"/>
      <c r="R1114" s="81"/>
      <c r="S1114" s="81"/>
      <c r="T1114" s="70"/>
    </row>
    <row r="1115" spans="3:22">
      <c r="D1115" s="63"/>
      <c r="E1115" s="9" t="s">
        <v>612</v>
      </c>
      <c r="K1115" s="72" t="e">
        <f>DESIGN_CONT.</f>
        <v>#REF!</v>
      </c>
      <c r="N1115" s="439" t="e">
        <f>N1114*$K1115</f>
        <v>#REF!</v>
      </c>
      <c r="O1115" s="439"/>
      <c r="P1115" s="439"/>
      <c r="Q1115" s="439"/>
      <c r="R1115" s="439"/>
      <c r="S1115" s="439"/>
      <c r="T1115" s="440"/>
    </row>
    <row r="1116" spans="3:22" ht="13" thickBot="1">
      <c r="D1116" s="63"/>
      <c r="E1116" s="9" t="s">
        <v>613</v>
      </c>
      <c r="K1116" s="72" t="e">
        <f>CONTINGENCY</f>
        <v>#REF!</v>
      </c>
      <c r="N1116" s="442" t="e">
        <f>N1114*$K1116</f>
        <v>#REF!</v>
      </c>
      <c r="O1116" s="442"/>
      <c r="P1116" s="442"/>
      <c r="Q1116" s="442"/>
      <c r="R1116" s="442"/>
      <c r="S1116" s="442"/>
      <c r="T1116" s="443"/>
    </row>
    <row r="1117" spans="3:22" ht="13.5" thickBot="1">
      <c r="C1117" s="1">
        <v>36</v>
      </c>
      <c r="D1117" s="68"/>
      <c r="E1117" s="69" t="s">
        <v>607</v>
      </c>
      <c r="F1117" s="69"/>
      <c r="G1117" s="69"/>
      <c r="H1117" s="69"/>
      <c r="I1117" s="69"/>
      <c r="J1117" s="69"/>
      <c r="K1117" s="69"/>
      <c r="L1117" s="69"/>
      <c r="M1117" s="69"/>
      <c r="N1117" s="435" t="e">
        <f>SUM(N1114:O1116)</f>
        <v>#REF!</v>
      </c>
      <c r="O1117" s="435"/>
      <c r="P1117" s="81"/>
      <c r="Q1117" s="81"/>
      <c r="R1117" s="81"/>
      <c r="S1117" s="81"/>
      <c r="T1117" s="70"/>
      <c r="V1117" s="76" t="s">
        <v>614</v>
      </c>
    </row>
    <row r="1118" spans="3:22" ht="13" thickBot="1">
      <c r="D1118" s="63"/>
      <c r="E1118" s="9" t="s">
        <v>615</v>
      </c>
      <c r="K1118" s="72" t="e">
        <f>FEE</f>
        <v>#REF!</v>
      </c>
      <c r="N1118" s="436" t="e">
        <f>N1117*$K1118</f>
        <v>#REF!</v>
      </c>
      <c r="O1118" s="436"/>
      <c r="P1118" s="436"/>
      <c r="Q1118" s="436"/>
      <c r="R1118" s="436"/>
      <c r="S1118" s="436"/>
      <c r="T1118" s="437"/>
    </row>
    <row r="1119" spans="3:22" ht="13.5" thickBot="1">
      <c r="D1119" s="68"/>
      <c r="E1119" s="69" t="s">
        <v>607</v>
      </c>
      <c r="F1119" s="69"/>
      <c r="G1119" s="69"/>
      <c r="H1119" s="69"/>
      <c r="I1119" s="69"/>
      <c r="J1119" s="69"/>
      <c r="K1119" s="69"/>
      <c r="L1119" s="69"/>
      <c r="M1119" s="69"/>
      <c r="N1119" s="435" t="e">
        <f>SUM(N1117:O1118)</f>
        <v>#REF!</v>
      </c>
      <c r="O1119" s="435"/>
      <c r="P1119" s="81"/>
      <c r="Q1119" s="81"/>
      <c r="R1119" s="81"/>
      <c r="S1119" s="81"/>
      <c r="T1119" s="70"/>
    </row>
    <row r="1120" spans="3:22" ht="13" thickBot="1">
      <c r="D1120" s="63"/>
      <c r="E1120" s="9" t="s">
        <v>616</v>
      </c>
      <c r="K1120" s="72">
        <v>0</v>
      </c>
      <c r="N1120" s="436" t="e">
        <f>N1119*$K1120</f>
        <v>#REF!</v>
      </c>
      <c r="O1120" s="436"/>
      <c r="P1120" s="436"/>
      <c r="Q1120" s="436"/>
      <c r="R1120" s="436"/>
      <c r="S1120" s="436"/>
      <c r="T1120" s="437"/>
    </row>
    <row r="1121" spans="4:20" ht="13.5" thickBot="1">
      <c r="D1121" s="73"/>
      <c r="E1121" s="74" t="s">
        <v>18</v>
      </c>
      <c r="F1121" s="74"/>
      <c r="G1121" s="74"/>
      <c r="H1121" s="74"/>
      <c r="I1121" s="74"/>
      <c r="J1121" s="74"/>
      <c r="K1121" s="74"/>
      <c r="L1121" s="74"/>
      <c r="M1121" s="74"/>
      <c r="N1121" s="438" t="e">
        <f>SUM(N1119:O1120)</f>
        <v>#REF!</v>
      </c>
      <c r="O1121" s="438"/>
      <c r="P1121" s="82"/>
      <c r="Q1121" s="82"/>
      <c r="R1121" s="82"/>
      <c r="S1121" s="82"/>
      <c r="T1121" s="75"/>
    </row>
    <row r="1122" spans="4:20" ht="13" thickTop="1"/>
    <row r="1123" spans="4:20" ht="13" thickBot="1"/>
    <row r="1124" spans="4:20" ht="13" thickTop="1">
      <c r="D1124" s="59" t="s">
        <v>572</v>
      </c>
      <c r="E1124" s="60" t="s">
        <v>573</v>
      </c>
      <c r="F1124" s="61"/>
      <c r="G1124" s="61"/>
      <c r="H1124" s="61"/>
      <c r="I1124" s="61"/>
      <c r="J1124" s="61"/>
      <c r="K1124" s="61"/>
      <c r="L1124" s="61"/>
      <c r="M1124" s="61"/>
      <c r="N1124" s="61"/>
      <c r="O1124" s="61"/>
      <c r="P1124" s="61"/>
      <c r="Q1124" s="61"/>
      <c r="R1124" s="61"/>
      <c r="S1124" s="61"/>
      <c r="T1124" s="62"/>
    </row>
    <row r="1125" spans="4:20">
      <c r="D1125" s="63" t="e">
        <f>#REF!</f>
        <v>#REF!</v>
      </c>
      <c r="E1125" t="e">
        <f>#REF!</f>
        <v>#REF!</v>
      </c>
      <c r="T1125" s="64"/>
    </row>
    <row r="1126" spans="4:20">
      <c r="D1126" s="65"/>
      <c r="E1126" s="66" t="s">
        <v>600</v>
      </c>
      <c r="F1126" s="66" t="s">
        <v>601</v>
      </c>
      <c r="G1126" s="45"/>
      <c r="H1126" s="45"/>
      <c r="I1126" s="45"/>
      <c r="J1126" s="45"/>
      <c r="K1126" s="374" t="s">
        <v>602</v>
      </c>
      <c r="L1126" s="374" t="s">
        <v>603</v>
      </c>
      <c r="M1126" s="374" t="s">
        <v>604</v>
      </c>
      <c r="N1126" s="444" t="s">
        <v>605</v>
      </c>
      <c r="O1126" s="444"/>
      <c r="P1126" s="444" t="s">
        <v>606</v>
      </c>
      <c r="Q1126" s="444"/>
      <c r="R1126" s="444"/>
      <c r="S1126" s="444"/>
      <c r="T1126" s="445"/>
    </row>
    <row r="1127" spans="4:20">
      <c r="D1127" s="63"/>
      <c r="M1127" s="67"/>
      <c r="N1127" s="446">
        <f t="shared" ref="N1127" si="111">K1127*M1127</f>
        <v>0</v>
      </c>
      <c r="O1127" s="446"/>
      <c r="P1127" s="446"/>
      <c r="Q1127" s="446"/>
      <c r="R1127" s="446"/>
      <c r="S1127" s="446"/>
      <c r="T1127" s="447"/>
    </row>
    <row r="1128" spans="4:20">
      <c r="D1128" s="63"/>
      <c r="L1128" s="9"/>
      <c r="M1128" s="67"/>
      <c r="N1128" s="432">
        <f>K1128*M1128</f>
        <v>0</v>
      </c>
      <c r="O1128" s="432"/>
      <c r="P1128" s="433"/>
      <c r="Q1128" s="433"/>
      <c r="R1128" s="433"/>
      <c r="S1128" s="433"/>
      <c r="T1128" s="434"/>
    </row>
    <row r="1129" spans="4:20">
      <c r="D1129" s="63"/>
      <c r="E1129" s="9"/>
      <c r="L1129" s="9"/>
      <c r="M1129" s="67"/>
      <c r="N1129" s="432">
        <f t="shared" ref="N1129:N1134" si="112">K1129*M1129</f>
        <v>0</v>
      </c>
      <c r="O1129" s="432"/>
      <c r="P1129" s="433"/>
      <c r="Q1129" s="433"/>
      <c r="R1129" s="433"/>
      <c r="S1129" s="433"/>
      <c r="T1129" s="434"/>
    </row>
    <row r="1130" spans="4:20">
      <c r="D1130" s="63"/>
      <c r="L1130" s="9"/>
      <c r="M1130" s="67"/>
      <c r="N1130" s="432">
        <f t="shared" si="112"/>
        <v>0</v>
      </c>
      <c r="O1130" s="432"/>
      <c r="P1130" s="433"/>
      <c r="Q1130" s="433"/>
      <c r="R1130" s="433"/>
      <c r="S1130" s="433"/>
      <c r="T1130" s="434"/>
    </row>
    <row r="1131" spans="4:20">
      <c r="D1131" s="63"/>
      <c r="L1131" s="9"/>
      <c r="M1131" s="67"/>
      <c r="N1131" s="432">
        <f t="shared" si="112"/>
        <v>0</v>
      </c>
      <c r="O1131" s="432"/>
      <c r="P1131" s="433"/>
      <c r="Q1131" s="433"/>
      <c r="R1131" s="433"/>
      <c r="S1131" s="433"/>
      <c r="T1131" s="434"/>
    </row>
    <row r="1132" spans="4:20">
      <c r="D1132" s="63"/>
      <c r="L1132" s="9"/>
      <c r="M1132" s="67"/>
      <c r="N1132" s="432">
        <f t="shared" si="112"/>
        <v>0</v>
      </c>
      <c r="O1132" s="432"/>
      <c r="P1132" s="433"/>
      <c r="Q1132" s="433"/>
      <c r="R1132" s="433"/>
      <c r="S1132" s="433"/>
      <c r="T1132" s="434"/>
    </row>
    <row r="1133" spans="4:20">
      <c r="D1133" s="63"/>
      <c r="M1133" s="67"/>
      <c r="N1133" s="432">
        <f t="shared" si="112"/>
        <v>0</v>
      </c>
      <c r="O1133" s="432"/>
      <c r="P1133" s="433"/>
      <c r="Q1133" s="433"/>
      <c r="R1133" s="433"/>
      <c r="S1133" s="433"/>
      <c r="T1133" s="434"/>
    </row>
    <row r="1134" spans="4:20" ht="13" thickBot="1">
      <c r="D1134" s="63"/>
      <c r="M1134" s="67"/>
      <c r="N1134" s="442">
        <f t="shared" si="112"/>
        <v>0</v>
      </c>
      <c r="O1134" s="442"/>
      <c r="P1134" s="442"/>
      <c r="Q1134" s="442"/>
      <c r="R1134" s="442"/>
      <c r="S1134" s="442"/>
      <c r="T1134" s="443"/>
    </row>
    <row r="1135" spans="4:20" ht="13.5" thickBot="1">
      <c r="D1135" s="68"/>
      <c r="E1135" s="69" t="s">
        <v>607</v>
      </c>
      <c r="F1135" s="69"/>
      <c r="G1135" s="69"/>
      <c r="H1135" s="69"/>
      <c r="I1135" s="69"/>
      <c r="J1135" s="69"/>
      <c r="K1135" s="69"/>
      <c r="L1135" s="69"/>
      <c r="M1135" s="69"/>
      <c r="N1135" s="435">
        <f>SUM(N1126:O1134)</f>
        <v>0</v>
      </c>
      <c r="O1135" s="435"/>
      <c r="P1135" s="81"/>
      <c r="Q1135" s="81"/>
      <c r="R1135" s="81"/>
      <c r="S1135" s="81"/>
      <c r="T1135" s="70"/>
    </row>
    <row r="1136" spans="4:20" ht="13" thickBot="1">
      <c r="D1136" s="63"/>
      <c r="E1136" s="9" t="s">
        <v>608</v>
      </c>
      <c r="N1136" s="436"/>
      <c r="O1136" s="436"/>
      <c r="P1136" s="436"/>
      <c r="Q1136" s="436"/>
      <c r="R1136" s="436"/>
      <c r="S1136" s="436"/>
      <c r="T1136" s="437"/>
    </row>
    <row r="1137" spans="3:22" ht="13.5" thickBot="1">
      <c r="D1137" s="68"/>
      <c r="E1137" s="69" t="s">
        <v>607</v>
      </c>
      <c r="F1137" s="69"/>
      <c r="G1137" s="69"/>
      <c r="H1137" s="69"/>
      <c r="I1137" s="69"/>
      <c r="J1137" s="69"/>
      <c r="K1137" s="69"/>
      <c r="L1137" s="69"/>
      <c r="M1137" s="69"/>
      <c r="N1137" s="435">
        <f>SUM(N1135:O1136)</f>
        <v>0</v>
      </c>
      <c r="O1137" s="435"/>
      <c r="P1137" s="81"/>
      <c r="Q1137" s="81"/>
      <c r="R1137" s="81"/>
      <c r="S1137" s="81"/>
      <c r="T1137" s="70"/>
    </row>
    <row r="1138" spans="3:22">
      <c r="D1138" s="63"/>
      <c r="E1138" s="9" t="s">
        <v>123</v>
      </c>
      <c r="K1138" s="71" t="e">
        <f>GL</f>
        <v>#REF!</v>
      </c>
      <c r="N1138" s="432" t="e">
        <f>$W1146*$K1138</f>
        <v>#REF!</v>
      </c>
      <c r="O1138" s="432"/>
      <c r="P1138" s="439"/>
      <c r="Q1138" s="439"/>
      <c r="R1138" s="439"/>
      <c r="S1138" s="439"/>
      <c r="T1138" s="440"/>
    </row>
    <row r="1139" spans="3:22">
      <c r="D1139" s="63"/>
      <c r="E1139" s="9" t="s">
        <v>124</v>
      </c>
      <c r="K1139" s="78" t="e">
        <f>BR</f>
        <v>#REF!</v>
      </c>
      <c r="N1139" s="432" t="e">
        <f>$W1146*$K1139</f>
        <v>#REF!</v>
      </c>
      <c r="O1139" s="432"/>
      <c r="P1139" s="432"/>
      <c r="Q1139" s="432"/>
      <c r="R1139" s="432"/>
      <c r="S1139" s="432"/>
      <c r="T1139" s="441"/>
    </row>
    <row r="1140" spans="3:22">
      <c r="D1140" s="63"/>
      <c r="E1140" s="9" t="s">
        <v>609</v>
      </c>
      <c r="K1140" s="78" t="e">
        <f>PERMIT</f>
        <v>#REF!</v>
      </c>
      <c r="N1140" s="432" t="e">
        <f>$W1146*$K1140</f>
        <v>#REF!</v>
      </c>
      <c r="O1140" s="432"/>
      <c r="P1140" s="432"/>
      <c r="Q1140" s="432"/>
      <c r="R1140" s="432"/>
      <c r="S1140" s="432"/>
      <c r="T1140" s="441"/>
    </row>
    <row r="1141" spans="3:22">
      <c r="D1141" s="63"/>
      <c r="E1141" s="9" t="s">
        <v>610</v>
      </c>
      <c r="K1141" s="79" t="e">
        <f>SDI</f>
        <v>#REF!</v>
      </c>
      <c r="N1141" s="432" t="e">
        <f>N1135*$K1141</f>
        <v>#REF!</v>
      </c>
      <c r="O1141" s="432"/>
      <c r="P1141" s="432"/>
      <c r="Q1141" s="432"/>
      <c r="R1141" s="432"/>
      <c r="S1141" s="432"/>
      <c r="T1141" s="441"/>
    </row>
    <row r="1142" spans="3:22" ht="13" thickBot="1">
      <c r="D1142" s="63"/>
      <c r="E1142" s="9" t="s">
        <v>611</v>
      </c>
      <c r="K1142" s="80">
        <v>0</v>
      </c>
      <c r="N1142" s="432">
        <f>N1136*$K1142</f>
        <v>0</v>
      </c>
      <c r="O1142" s="432"/>
      <c r="P1142" s="432"/>
      <c r="Q1142" s="432"/>
      <c r="R1142" s="432"/>
      <c r="S1142" s="432"/>
      <c r="T1142" s="441"/>
    </row>
    <row r="1143" spans="3:22" ht="13.5" thickBot="1">
      <c r="D1143" s="68"/>
      <c r="E1143" s="69" t="s">
        <v>607</v>
      </c>
      <c r="F1143" s="69"/>
      <c r="G1143" s="69"/>
      <c r="H1143" s="69"/>
      <c r="I1143" s="69"/>
      <c r="J1143" s="69"/>
      <c r="K1143" s="69"/>
      <c r="L1143" s="69"/>
      <c r="M1143" s="69"/>
      <c r="N1143" s="435" t="e">
        <f>SUM(N1137:O1142)</f>
        <v>#REF!</v>
      </c>
      <c r="O1143" s="435"/>
      <c r="P1143" s="81"/>
      <c r="Q1143" s="81"/>
      <c r="R1143" s="81"/>
      <c r="S1143" s="81"/>
      <c r="T1143" s="70"/>
    </row>
    <row r="1144" spans="3:22">
      <c r="D1144" s="63"/>
      <c r="E1144" s="9" t="s">
        <v>612</v>
      </c>
      <c r="K1144" s="72" t="e">
        <f>DESIGN_CONT.</f>
        <v>#REF!</v>
      </c>
      <c r="N1144" s="439" t="e">
        <f>N1143*$K1144</f>
        <v>#REF!</v>
      </c>
      <c r="O1144" s="439"/>
      <c r="P1144" s="439"/>
      <c r="Q1144" s="439"/>
      <c r="R1144" s="439"/>
      <c r="S1144" s="439"/>
      <c r="T1144" s="440"/>
    </row>
    <row r="1145" spans="3:22" ht="13" thickBot="1">
      <c r="D1145" s="63"/>
      <c r="E1145" s="9" t="s">
        <v>613</v>
      </c>
      <c r="K1145" s="72" t="e">
        <f>CONTINGENCY</f>
        <v>#REF!</v>
      </c>
      <c r="N1145" s="442" t="e">
        <f>N1143*$K1145</f>
        <v>#REF!</v>
      </c>
      <c r="O1145" s="442"/>
      <c r="P1145" s="442"/>
      <c r="Q1145" s="442"/>
      <c r="R1145" s="442"/>
      <c r="S1145" s="442"/>
      <c r="T1145" s="443"/>
    </row>
    <row r="1146" spans="3:22" ht="13.5" thickBot="1">
      <c r="C1146" s="1">
        <v>37</v>
      </c>
      <c r="D1146" s="68"/>
      <c r="E1146" s="69" t="s">
        <v>607</v>
      </c>
      <c r="F1146" s="69"/>
      <c r="G1146" s="69"/>
      <c r="H1146" s="69"/>
      <c r="I1146" s="69"/>
      <c r="J1146" s="69"/>
      <c r="K1146" s="69"/>
      <c r="L1146" s="69"/>
      <c r="M1146" s="69"/>
      <c r="N1146" s="435" t="e">
        <f>SUM(N1143:O1145)</f>
        <v>#REF!</v>
      </c>
      <c r="O1146" s="435"/>
      <c r="P1146" s="81"/>
      <c r="Q1146" s="81"/>
      <c r="R1146" s="81"/>
      <c r="S1146" s="81"/>
      <c r="T1146" s="70"/>
      <c r="V1146" s="76" t="s">
        <v>614</v>
      </c>
    </row>
    <row r="1147" spans="3:22" ht="13" thickBot="1">
      <c r="C1147" s="1"/>
      <c r="D1147" s="63"/>
      <c r="E1147" s="9" t="s">
        <v>615</v>
      </c>
      <c r="K1147" s="72" t="e">
        <f>FEE</f>
        <v>#REF!</v>
      </c>
      <c r="N1147" s="436" t="e">
        <f>N1146*$K1147</f>
        <v>#REF!</v>
      </c>
      <c r="O1147" s="436"/>
      <c r="P1147" s="436"/>
      <c r="Q1147" s="436"/>
      <c r="R1147" s="436"/>
      <c r="S1147" s="436"/>
      <c r="T1147" s="437"/>
    </row>
    <row r="1148" spans="3:22" ht="13.5" thickBot="1">
      <c r="C1148" s="1"/>
      <c r="D1148" s="68"/>
      <c r="E1148" s="69" t="s">
        <v>607</v>
      </c>
      <c r="F1148" s="69"/>
      <c r="G1148" s="69"/>
      <c r="H1148" s="69"/>
      <c r="I1148" s="69"/>
      <c r="J1148" s="69"/>
      <c r="K1148" s="69"/>
      <c r="L1148" s="69"/>
      <c r="M1148" s="69"/>
      <c r="N1148" s="435" t="e">
        <f>SUM(N1146:O1147)</f>
        <v>#REF!</v>
      </c>
      <c r="O1148" s="435"/>
      <c r="P1148" s="81"/>
      <c r="Q1148" s="81"/>
      <c r="R1148" s="81"/>
      <c r="S1148" s="81"/>
      <c r="T1148" s="70"/>
    </row>
    <row r="1149" spans="3:22" ht="13" thickBot="1">
      <c r="D1149" s="63"/>
      <c r="E1149" s="9" t="s">
        <v>616</v>
      </c>
      <c r="K1149" s="72">
        <v>0</v>
      </c>
      <c r="N1149" s="436" t="e">
        <f>N1148*$K1149</f>
        <v>#REF!</v>
      </c>
      <c r="O1149" s="436"/>
      <c r="P1149" s="436"/>
      <c r="Q1149" s="436"/>
      <c r="R1149" s="436"/>
      <c r="S1149" s="436"/>
      <c r="T1149" s="437"/>
    </row>
    <row r="1150" spans="3:22" ht="13.5" thickBot="1">
      <c r="D1150" s="73"/>
      <c r="E1150" s="74" t="s">
        <v>18</v>
      </c>
      <c r="F1150" s="74"/>
      <c r="G1150" s="74"/>
      <c r="H1150" s="74"/>
      <c r="I1150" s="74"/>
      <c r="J1150" s="74"/>
      <c r="K1150" s="74"/>
      <c r="L1150" s="74"/>
      <c r="M1150" s="74"/>
      <c r="N1150" s="438" t="e">
        <f>SUM(N1148:O1149)</f>
        <v>#REF!</v>
      </c>
      <c r="O1150" s="438"/>
      <c r="P1150" s="82"/>
      <c r="Q1150" s="82"/>
      <c r="R1150" s="82"/>
      <c r="S1150" s="82"/>
      <c r="T1150" s="75"/>
    </row>
    <row r="1151" spans="3:22" ht="13" thickTop="1"/>
    <row r="1152" spans="3:22" ht="13" thickBot="1"/>
    <row r="1153" spans="4:20" ht="13" thickTop="1">
      <c r="D1153" s="59" t="s">
        <v>572</v>
      </c>
      <c r="E1153" s="60" t="s">
        <v>573</v>
      </c>
      <c r="F1153" s="61"/>
      <c r="G1153" s="61"/>
      <c r="H1153" s="61"/>
      <c r="I1153" s="61"/>
      <c r="J1153" s="61"/>
      <c r="K1153" s="61"/>
      <c r="L1153" s="61"/>
      <c r="M1153" s="61"/>
      <c r="N1153" s="61"/>
      <c r="O1153" s="61"/>
      <c r="P1153" s="61"/>
      <c r="Q1153" s="61"/>
      <c r="R1153" s="61"/>
      <c r="S1153" s="61"/>
      <c r="T1153" s="62"/>
    </row>
    <row r="1154" spans="4:20">
      <c r="D1154" s="63" t="e">
        <f>#REF!</f>
        <v>#REF!</v>
      </c>
      <c r="E1154" t="e">
        <f>#REF!</f>
        <v>#REF!</v>
      </c>
      <c r="T1154" s="64"/>
    </row>
    <row r="1155" spans="4:20">
      <c r="D1155" s="65"/>
      <c r="E1155" s="66" t="s">
        <v>600</v>
      </c>
      <c r="F1155" s="66" t="s">
        <v>601</v>
      </c>
      <c r="G1155" s="45"/>
      <c r="H1155" s="45"/>
      <c r="I1155" s="45"/>
      <c r="J1155" s="45"/>
      <c r="K1155" s="374" t="s">
        <v>602</v>
      </c>
      <c r="L1155" s="374" t="s">
        <v>603</v>
      </c>
      <c r="M1155" s="374" t="s">
        <v>604</v>
      </c>
      <c r="N1155" s="444" t="s">
        <v>605</v>
      </c>
      <c r="O1155" s="444"/>
      <c r="P1155" s="444" t="s">
        <v>606</v>
      </c>
      <c r="Q1155" s="444"/>
      <c r="R1155" s="444"/>
      <c r="S1155" s="444"/>
      <c r="T1155" s="445"/>
    </row>
    <row r="1156" spans="4:20">
      <c r="D1156" s="63"/>
      <c r="M1156" s="67"/>
      <c r="N1156" s="446">
        <f t="shared" ref="N1156" si="113">K1156*M1156</f>
        <v>0</v>
      </c>
      <c r="O1156" s="446"/>
      <c r="P1156" s="446"/>
      <c r="Q1156" s="446"/>
      <c r="R1156" s="446"/>
      <c r="S1156" s="446"/>
      <c r="T1156" s="447"/>
    </row>
    <row r="1157" spans="4:20">
      <c r="D1157" s="63"/>
      <c r="L1157" s="9"/>
      <c r="M1157" s="67"/>
      <c r="N1157" s="432">
        <f>K1157*M1157</f>
        <v>0</v>
      </c>
      <c r="O1157" s="432"/>
      <c r="P1157" s="433"/>
      <c r="Q1157" s="433"/>
      <c r="R1157" s="433"/>
      <c r="S1157" s="433"/>
      <c r="T1157" s="434"/>
    </row>
    <row r="1158" spans="4:20">
      <c r="D1158" s="63"/>
      <c r="E1158" s="9"/>
      <c r="L1158" s="9"/>
      <c r="M1158" s="67"/>
      <c r="N1158" s="432">
        <f t="shared" ref="N1158:N1163" si="114">K1158*M1158</f>
        <v>0</v>
      </c>
      <c r="O1158" s="432"/>
      <c r="P1158" s="433"/>
      <c r="Q1158" s="433"/>
      <c r="R1158" s="433"/>
      <c r="S1158" s="433"/>
      <c r="T1158" s="434"/>
    </row>
    <row r="1159" spans="4:20">
      <c r="D1159" s="63"/>
      <c r="L1159" s="9"/>
      <c r="M1159" s="67"/>
      <c r="N1159" s="432">
        <f t="shared" si="114"/>
        <v>0</v>
      </c>
      <c r="O1159" s="432"/>
      <c r="P1159" s="433"/>
      <c r="Q1159" s="433"/>
      <c r="R1159" s="433"/>
      <c r="S1159" s="433"/>
      <c r="T1159" s="434"/>
    </row>
    <row r="1160" spans="4:20">
      <c r="D1160" s="63"/>
      <c r="L1160" s="9"/>
      <c r="M1160" s="67"/>
      <c r="N1160" s="432">
        <f t="shared" si="114"/>
        <v>0</v>
      </c>
      <c r="O1160" s="432"/>
      <c r="P1160" s="433"/>
      <c r="Q1160" s="433"/>
      <c r="R1160" s="433"/>
      <c r="S1160" s="433"/>
      <c r="T1160" s="434"/>
    </row>
    <row r="1161" spans="4:20">
      <c r="D1161" s="63"/>
      <c r="L1161" s="9"/>
      <c r="M1161" s="67"/>
      <c r="N1161" s="432">
        <f t="shared" si="114"/>
        <v>0</v>
      </c>
      <c r="O1161" s="432"/>
      <c r="P1161" s="433"/>
      <c r="Q1161" s="433"/>
      <c r="R1161" s="433"/>
      <c r="S1161" s="433"/>
      <c r="T1161" s="434"/>
    </row>
    <row r="1162" spans="4:20">
      <c r="D1162" s="63"/>
      <c r="M1162" s="67"/>
      <c r="N1162" s="432">
        <f t="shared" si="114"/>
        <v>0</v>
      </c>
      <c r="O1162" s="432"/>
      <c r="P1162" s="433"/>
      <c r="Q1162" s="433"/>
      <c r="R1162" s="433"/>
      <c r="S1162" s="433"/>
      <c r="T1162" s="434"/>
    </row>
    <row r="1163" spans="4:20" ht="13" thickBot="1">
      <c r="D1163" s="63"/>
      <c r="M1163" s="67"/>
      <c r="N1163" s="442">
        <f t="shared" si="114"/>
        <v>0</v>
      </c>
      <c r="O1163" s="442"/>
      <c r="P1163" s="442"/>
      <c r="Q1163" s="442"/>
      <c r="R1163" s="442"/>
      <c r="S1163" s="442"/>
      <c r="T1163" s="443"/>
    </row>
    <row r="1164" spans="4:20" ht="13.5" thickBot="1">
      <c r="D1164" s="68"/>
      <c r="E1164" s="69" t="s">
        <v>607</v>
      </c>
      <c r="F1164" s="69"/>
      <c r="G1164" s="69"/>
      <c r="H1164" s="69"/>
      <c r="I1164" s="69"/>
      <c r="J1164" s="69"/>
      <c r="K1164" s="69"/>
      <c r="L1164" s="69"/>
      <c r="M1164" s="69"/>
      <c r="N1164" s="435">
        <f>SUM(N1155:O1163)</f>
        <v>0</v>
      </c>
      <c r="O1164" s="435"/>
      <c r="P1164" s="81"/>
      <c r="Q1164" s="81"/>
      <c r="R1164" s="81"/>
      <c r="S1164" s="81"/>
      <c r="T1164" s="70"/>
    </row>
    <row r="1165" spans="4:20" ht="13" thickBot="1">
      <c r="D1165" s="63"/>
      <c r="E1165" s="9" t="s">
        <v>608</v>
      </c>
      <c r="N1165" s="436"/>
      <c r="O1165" s="436"/>
      <c r="P1165" s="436"/>
      <c r="Q1165" s="436"/>
      <c r="R1165" s="436"/>
      <c r="S1165" s="436"/>
      <c r="T1165" s="437"/>
    </row>
    <row r="1166" spans="4:20" ht="13.5" thickBot="1">
      <c r="D1166" s="68"/>
      <c r="E1166" s="69" t="s">
        <v>607</v>
      </c>
      <c r="F1166" s="69"/>
      <c r="G1166" s="69"/>
      <c r="H1166" s="69"/>
      <c r="I1166" s="69"/>
      <c r="J1166" s="69"/>
      <c r="K1166" s="69"/>
      <c r="L1166" s="69"/>
      <c r="M1166" s="69"/>
      <c r="N1166" s="435">
        <f>SUM(N1164:O1165)</f>
        <v>0</v>
      </c>
      <c r="O1166" s="435"/>
      <c r="P1166" s="81"/>
      <c r="Q1166" s="81"/>
      <c r="R1166" s="81"/>
      <c r="S1166" s="81"/>
      <c r="T1166" s="70"/>
    </row>
    <row r="1167" spans="4:20">
      <c r="D1167" s="63"/>
      <c r="E1167" s="9" t="s">
        <v>123</v>
      </c>
      <c r="K1167" s="71" t="e">
        <f>GL</f>
        <v>#REF!</v>
      </c>
      <c r="N1167" s="432" t="e">
        <f>$W1175*$K1167</f>
        <v>#REF!</v>
      </c>
      <c r="O1167" s="432"/>
      <c r="P1167" s="439"/>
      <c r="Q1167" s="439"/>
      <c r="R1167" s="439"/>
      <c r="S1167" s="439"/>
      <c r="T1167" s="440"/>
    </row>
    <row r="1168" spans="4:20">
      <c r="D1168" s="63"/>
      <c r="E1168" s="9" t="s">
        <v>124</v>
      </c>
      <c r="K1168" s="78" t="e">
        <f>BR</f>
        <v>#REF!</v>
      </c>
      <c r="N1168" s="432" t="e">
        <f>$W1175*$K1168</f>
        <v>#REF!</v>
      </c>
      <c r="O1168" s="432"/>
      <c r="P1168" s="432"/>
      <c r="Q1168" s="432"/>
      <c r="R1168" s="432"/>
      <c r="S1168" s="432"/>
      <c r="T1168" s="441"/>
    </row>
    <row r="1169" spans="3:22">
      <c r="D1169" s="63"/>
      <c r="E1169" s="9" t="s">
        <v>609</v>
      </c>
      <c r="K1169" s="78" t="e">
        <f>PERMIT</f>
        <v>#REF!</v>
      </c>
      <c r="N1169" s="432" t="e">
        <f>$W1175*$K1169</f>
        <v>#REF!</v>
      </c>
      <c r="O1169" s="432"/>
      <c r="P1169" s="432"/>
      <c r="Q1169" s="432"/>
      <c r="R1169" s="432"/>
      <c r="S1169" s="432"/>
      <c r="T1169" s="441"/>
    </row>
    <row r="1170" spans="3:22">
      <c r="D1170" s="63"/>
      <c r="E1170" s="9" t="s">
        <v>610</v>
      </c>
      <c r="K1170" s="79" t="e">
        <f>SDI</f>
        <v>#REF!</v>
      </c>
      <c r="N1170" s="432" t="e">
        <f>N1164*$K1170</f>
        <v>#REF!</v>
      </c>
      <c r="O1170" s="432"/>
      <c r="P1170" s="432"/>
      <c r="Q1170" s="432"/>
      <c r="R1170" s="432"/>
      <c r="S1170" s="432"/>
      <c r="T1170" s="441"/>
    </row>
    <row r="1171" spans="3:22" ht="13" thickBot="1">
      <c r="D1171" s="63"/>
      <c r="E1171" s="9" t="s">
        <v>611</v>
      </c>
      <c r="K1171" s="80">
        <v>0</v>
      </c>
      <c r="N1171" s="432">
        <f>N1165*$K1171</f>
        <v>0</v>
      </c>
      <c r="O1171" s="432"/>
      <c r="P1171" s="432"/>
      <c r="Q1171" s="432"/>
      <c r="R1171" s="432"/>
      <c r="S1171" s="432"/>
      <c r="T1171" s="441"/>
    </row>
    <row r="1172" spans="3:22" ht="13.5" thickBot="1">
      <c r="D1172" s="68"/>
      <c r="E1172" s="69" t="s">
        <v>607</v>
      </c>
      <c r="F1172" s="69"/>
      <c r="G1172" s="69"/>
      <c r="H1172" s="69"/>
      <c r="I1172" s="69"/>
      <c r="J1172" s="69"/>
      <c r="K1172" s="69"/>
      <c r="L1172" s="69"/>
      <c r="M1172" s="69"/>
      <c r="N1172" s="435" t="e">
        <f>SUM(N1166:O1171)</f>
        <v>#REF!</v>
      </c>
      <c r="O1172" s="435"/>
      <c r="P1172" s="81"/>
      <c r="Q1172" s="81"/>
      <c r="R1172" s="81"/>
      <c r="S1172" s="81"/>
      <c r="T1172" s="70"/>
    </row>
    <row r="1173" spans="3:22">
      <c r="D1173" s="63"/>
      <c r="E1173" s="9" t="s">
        <v>612</v>
      </c>
      <c r="K1173" s="72" t="e">
        <f>DESIGN_CONT.</f>
        <v>#REF!</v>
      </c>
      <c r="N1173" s="439" t="e">
        <f>N1172*$K1173</f>
        <v>#REF!</v>
      </c>
      <c r="O1173" s="439"/>
      <c r="P1173" s="439"/>
      <c r="Q1173" s="439"/>
      <c r="R1173" s="439"/>
      <c r="S1173" s="439"/>
      <c r="T1173" s="440"/>
    </row>
    <row r="1174" spans="3:22" ht="13" thickBot="1">
      <c r="D1174" s="63"/>
      <c r="E1174" s="9" t="s">
        <v>613</v>
      </c>
      <c r="K1174" s="72" t="e">
        <f>CONTINGENCY</f>
        <v>#REF!</v>
      </c>
      <c r="N1174" s="442" t="e">
        <f>N1172*$K1174</f>
        <v>#REF!</v>
      </c>
      <c r="O1174" s="442"/>
      <c r="P1174" s="442"/>
      <c r="Q1174" s="442"/>
      <c r="R1174" s="442"/>
      <c r="S1174" s="442"/>
      <c r="T1174" s="443"/>
    </row>
    <row r="1175" spans="3:22" ht="13.5" thickBot="1">
      <c r="C1175" s="1">
        <v>38</v>
      </c>
      <c r="D1175" s="68"/>
      <c r="E1175" s="69" t="s">
        <v>607</v>
      </c>
      <c r="F1175" s="69"/>
      <c r="G1175" s="69"/>
      <c r="H1175" s="69"/>
      <c r="I1175" s="69"/>
      <c r="J1175" s="69"/>
      <c r="K1175" s="69"/>
      <c r="L1175" s="69"/>
      <c r="M1175" s="69"/>
      <c r="N1175" s="435" t="e">
        <f>SUM(N1172:O1174)</f>
        <v>#REF!</v>
      </c>
      <c r="O1175" s="435"/>
      <c r="P1175" s="81"/>
      <c r="Q1175" s="81"/>
      <c r="R1175" s="81"/>
      <c r="S1175" s="81"/>
      <c r="T1175" s="70"/>
      <c r="V1175" s="76" t="s">
        <v>614</v>
      </c>
    </row>
    <row r="1176" spans="3:22" ht="13" thickBot="1">
      <c r="D1176" s="63"/>
      <c r="E1176" s="9" t="s">
        <v>615</v>
      </c>
      <c r="K1176" s="72" t="e">
        <f>FEE</f>
        <v>#REF!</v>
      </c>
      <c r="N1176" s="436" t="e">
        <f>N1175*$K1176</f>
        <v>#REF!</v>
      </c>
      <c r="O1176" s="436"/>
      <c r="P1176" s="436"/>
      <c r="Q1176" s="436"/>
      <c r="R1176" s="436"/>
      <c r="S1176" s="436"/>
      <c r="T1176" s="437"/>
    </row>
    <row r="1177" spans="3:22" ht="13.5" thickBot="1">
      <c r="D1177" s="68"/>
      <c r="E1177" s="69" t="s">
        <v>607</v>
      </c>
      <c r="F1177" s="69"/>
      <c r="G1177" s="69"/>
      <c r="H1177" s="69"/>
      <c r="I1177" s="69"/>
      <c r="J1177" s="69"/>
      <c r="K1177" s="69"/>
      <c r="L1177" s="69"/>
      <c r="M1177" s="69"/>
      <c r="N1177" s="435" t="e">
        <f>SUM(N1175:O1176)</f>
        <v>#REF!</v>
      </c>
      <c r="O1177" s="435"/>
      <c r="P1177" s="81"/>
      <c r="Q1177" s="81"/>
      <c r="R1177" s="81"/>
      <c r="S1177" s="81"/>
      <c r="T1177" s="70"/>
    </row>
    <row r="1178" spans="3:22" ht="13" thickBot="1">
      <c r="D1178" s="63"/>
      <c r="E1178" s="9" t="s">
        <v>616</v>
      </c>
      <c r="K1178" s="72">
        <v>0</v>
      </c>
      <c r="N1178" s="436" t="e">
        <f>N1177*$K1178</f>
        <v>#REF!</v>
      </c>
      <c r="O1178" s="436"/>
      <c r="P1178" s="436"/>
      <c r="Q1178" s="436"/>
      <c r="R1178" s="436"/>
      <c r="S1178" s="436"/>
      <c r="T1178" s="437"/>
    </row>
    <row r="1179" spans="3:22" ht="13.5" thickBot="1">
      <c r="D1179" s="73"/>
      <c r="E1179" s="74" t="s">
        <v>18</v>
      </c>
      <c r="F1179" s="74"/>
      <c r="G1179" s="74"/>
      <c r="H1179" s="74"/>
      <c r="I1179" s="74"/>
      <c r="J1179" s="74"/>
      <c r="K1179" s="74"/>
      <c r="L1179" s="74"/>
      <c r="M1179" s="74"/>
      <c r="N1179" s="438" t="e">
        <f>SUM(N1177:O1178)</f>
        <v>#REF!</v>
      </c>
      <c r="O1179" s="438"/>
      <c r="P1179" s="82"/>
      <c r="Q1179" s="82"/>
      <c r="R1179" s="82"/>
      <c r="S1179" s="82"/>
      <c r="T1179" s="75"/>
    </row>
    <row r="1180" spans="3:22" ht="13" thickTop="1"/>
    <row r="1181" spans="3:22" ht="13" thickBot="1"/>
    <row r="1182" spans="3:22" ht="13" thickTop="1">
      <c r="D1182" s="59" t="s">
        <v>572</v>
      </c>
      <c r="E1182" s="60" t="s">
        <v>573</v>
      </c>
      <c r="F1182" s="61"/>
      <c r="G1182" s="61"/>
      <c r="H1182" s="61"/>
      <c r="I1182" s="61"/>
      <c r="J1182" s="61"/>
      <c r="K1182" s="61"/>
      <c r="L1182" s="61"/>
      <c r="M1182" s="61"/>
      <c r="N1182" s="61"/>
      <c r="O1182" s="61"/>
      <c r="P1182" s="61"/>
      <c r="Q1182" s="61"/>
      <c r="R1182" s="61"/>
      <c r="S1182" s="61"/>
      <c r="T1182" s="62"/>
    </row>
    <row r="1183" spans="3:22">
      <c r="D1183" s="63" t="e">
        <f>#REF!</f>
        <v>#REF!</v>
      </c>
      <c r="E1183" t="e">
        <f>#REF!</f>
        <v>#REF!</v>
      </c>
      <c r="T1183" s="64"/>
    </row>
    <row r="1184" spans="3:22">
      <c r="D1184" s="65"/>
      <c r="E1184" s="66" t="s">
        <v>600</v>
      </c>
      <c r="F1184" s="66" t="s">
        <v>601</v>
      </c>
      <c r="G1184" s="45"/>
      <c r="H1184" s="45"/>
      <c r="I1184" s="45"/>
      <c r="J1184" s="45"/>
      <c r="K1184" s="374" t="s">
        <v>602</v>
      </c>
      <c r="L1184" s="374" t="s">
        <v>603</v>
      </c>
      <c r="M1184" s="374" t="s">
        <v>604</v>
      </c>
      <c r="N1184" s="444" t="s">
        <v>605</v>
      </c>
      <c r="O1184" s="444"/>
      <c r="P1184" s="444" t="s">
        <v>606</v>
      </c>
      <c r="Q1184" s="444"/>
      <c r="R1184" s="444"/>
      <c r="S1184" s="444"/>
      <c r="T1184" s="445"/>
    </row>
    <row r="1185" spans="4:20">
      <c r="D1185" s="63"/>
      <c r="M1185" s="67"/>
      <c r="N1185" s="446">
        <f t="shared" ref="N1185" si="115">K1185*M1185</f>
        <v>0</v>
      </c>
      <c r="O1185" s="446"/>
      <c r="P1185" s="446"/>
      <c r="Q1185" s="446"/>
      <c r="R1185" s="446"/>
      <c r="S1185" s="446"/>
      <c r="T1185" s="447"/>
    </row>
    <row r="1186" spans="4:20">
      <c r="D1186" s="63"/>
      <c r="L1186" s="9"/>
      <c r="M1186" s="67"/>
      <c r="N1186" s="432">
        <f>K1186*M1186</f>
        <v>0</v>
      </c>
      <c r="O1186" s="432"/>
      <c r="P1186" s="433"/>
      <c r="Q1186" s="433"/>
      <c r="R1186" s="433"/>
      <c r="S1186" s="433"/>
      <c r="T1186" s="434"/>
    </row>
    <row r="1187" spans="4:20">
      <c r="D1187" s="63"/>
      <c r="E1187" s="9"/>
      <c r="L1187" s="9"/>
      <c r="M1187" s="67"/>
      <c r="N1187" s="432">
        <f t="shared" ref="N1187:N1192" si="116">K1187*M1187</f>
        <v>0</v>
      </c>
      <c r="O1187" s="432"/>
      <c r="P1187" s="433"/>
      <c r="Q1187" s="433"/>
      <c r="R1187" s="433"/>
      <c r="S1187" s="433"/>
      <c r="T1187" s="434"/>
    </row>
    <row r="1188" spans="4:20">
      <c r="D1188" s="63"/>
      <c r="L1188" s="9"/>
      <c r="M1188" s="67"/>
      <c r="N1188" s="432">
        <f t="shared" si="116"/>
        <v>0</v>
      </c>
      <c r="O1188" s="432"/>
      <c r="P1188" s="433"/>
      <c r="Q1188" s="433"/>
      <c r="R1188" s="433"/>
      <c r="S1188" s="433"/>
      <c r="T1188" s="434"/>
    </row>
    <row r="1189" spans="4:20">
      <c r="D1189" s="63"/>
      <c r="L1189" s="9"/>
      <c r="M1189" s="67"/>
      <c r="N1189" s="432">
        <f t="shared" si="116"/>
        <v>0</v>
      </c>
      <c r="O1189" s="432"/>
      <c r="P1189" s="433"/>
      <c r="Q1189" s="433"/>
      <c r="R1189" s="433"/>
      <c r="S1189" s="433"/>
      <c r="T1189" s="434"/>
    </row>
    <row r="1190" spans="4:20">
      <c r="D1190" s="63"/>
      <c r="L1190" s="9"/>
      <c r="M1190" s="67"/>
      <c r="N1190" s="432">
        <f t="shared" si="116"/>
        <v>0</v>
      </c>
      <c r="O1190" s="432"/>
      <c r="P1190" s="433"/>
      <c r="Q1190" s="433"/>
      <c r="R1190" s="433"/>
      <c r="S1190" s="433"/>
      <c r="T1190" s="434"/>
    </row>
    <row r="1191" spans="4:20">
      <c r="D1191" s="63"/>
      <c r="M1191" s="67"/>
      <c r="N1191" s="432">
        <f t="shared" si="116"/>
        <v>0</v>
      </c>
      <c r="O1191" s="432"/>
      <c r="P1191" s="433"/>
      <c r="Q1191" s="433"/>
      <c r="R1191" s="433"/>
      <c r="S1191" s="433"/>
      <c r="T1191" s="434"/>
    </row>
    <row r="1192" spans="4:20" ht="13" thickBot="1">
      <c r="D1192" s="63"/>
      <c r="M1192" s="67"/>
      <c r="N1192" s="442">
        <f t="shared" si="116"/>
        <v>0</v>
      </c>
      <c r="O1192" s="442"/>
      <c r="P1192" s="442"/>
      <c r="Q1192" s="442"/>
      <c r="R1192" s="442"/>
      <c r="S1192" s="442"/>
      <c r="T1192" s="443"/>
    </row>
    <row r="1193" spans="4:20" ht="13.5" thickBot="1">
      <c r="D1193" s="68"/>
      <c r="E1193" s="69" t="s">
        <v>607</v>
      </c>
      <c r="F1193" s="69"/>
      <c r="G1193" s="69"/>
      <c r="H1193" s="69"/>
      <c r="I1193" s="69"/>
      <c r="J1193" s="69"/>
      <c r="K1193" s="69"/>
      <c r="L1193" s="69"/>
      <c r="M1193" s="69"/>
      <c r="N1193" s="435">
        <f>SUM(N1184:O1192)</f>
        <v>0</v>
      </c>
      <c r="O1193" s="435"/>
      <c r="P1193" s="81"/>
      <c r="Q1193" s="81"/>
      <c r="R1193" s="81"/>
      <c r="S1193" s="81"/>
      <c r="T1193" s="70"/>
    </row>
    <row r="1194" spans="4:20" ht="13" thickBot="1">
      <c r="D1194" s="63"/>
      <c r="E1194" s="9" t="s">
        <v>608</v>
      </c>
      <c r="N1194" s="436"/>
      <c r="O1194" s="436"/>
      <c r="P1194" s="436"/>
      <c r="Q1194" s="436"/>
      <c r="R1194" s="436"/>
      <c r="S1194" s="436"/>
      <c r="T1194" s="437"/>
    </row>
    <row r="1195" spans="4:20" ht="13.5" thickBot="1">
      <c r="D1195" s="68"/>
      <c r="E1195" s="69" t="s">
        <v>607</v>
      </c>
      <c r="F1195" s="69"/>
      <c r="G1195" s="69"/>
      <c r="H1195" s="69"/>
      <c r="I1195" s="69"/>
      <c r="J1195" s="69"/>
      <c r="K1195" s="69"/>
      <c r="L1195" s="69"/>
      <c r="M1195" s="69"/>
      <c r="N1195" s="435">
        <f>SUM(N1193:O1194)</f>
        <v>0</v>
      </c>
      <c r="O1195" s="435"/>
      <c r="P1195" s="81"/>
      <c r="Q1195" s="81"/>
      <c r="R1195" s="81"/>
      <c r="S1195" s="81"/>
      <c r="T1195" s="70"/>
    </row>
    <row r="1196" spans="4:20">
      <c r="D1196" s="63"/>
      <c r="E1196" s="9" t="s">
        <v>123</v>
      </c>
      <c r="K1196" s="71" t="e">
        <f>GL</f>
        <v>#REF!</v>
      </c>
      <c r="N1196" s="432" t="e">
        <f>$W1204*$K1196</f>
        <v>#REF!</v>
      </c>
      <c r="O1196" s="432"/>
      <c r="P1196" s="439"/>
      <c r="Q1196" s="439"/>
      <c r="R1196" s="439"/>
      <c r="S1196" s="439"/>
      <c r="T1196" s="440"/>
    </row>
    <row r="1197" spans="4:20">
      <c r="D1197" s="63"/>
      <c r="E1197" s="9" t="s">
        <v>124</v>
      </c>
      <c r="K1197" s="78" t="e">
        <f>BR</f>
        <v>#REF!</v>
      </c>
      <c r="N1197" s="432" t="e">
        <f>$W1204*$K1197</f>
        <v>#REF!</v>
      </c>
      <c r="O1197" s="432"/>
      <c r="P1197" s="432"/>
      <c r="Q1197" s="432"/>
      <c r="R1197" s="432"/>
      <c r="S1197" s="432"/>
      <c r="T1197" s="441"/>
    </row>
    <row r="1198" spans="4:20">
      <c r="D1198" s="63"/>
      <c r="E1198" s="9" t="s">
        <v>609</v>
      </c>
      <c r="K1198" s="78" t="e">
        <f>PERMIT</f>
        <v>#REF!</v>
      </c>
      <c r="N1198" s="432" t="e">
        <f>$W1204*$K1198</f>
        <v>#REF!</v>
      </c>
      <c r="O1198" s="432"/>
      <c r="P1198" s="432"/>
      <c r="Q1198" s="432"/>
      <c r="R1198" s="432"/>
      <c r="S1198" s="432"/>
      <c r="T1198" s="441"/>
    </row>
    <row r="1199" spans="4:20">
      <c r="D1199" s="63"/>
      <c r="E1199" s="9" t="s">
        <v>610</v>
      </c>
      <c r="K1199" s="79" t="e">
        <f>SDI</f>
        <v>#REF!</v>
      </c>
      <c r="N1199" s="432" t="e">
        <f>N1193*$K1199</f>
        <v>#REF!</v>
      </c>
      <c r="O1199" s="432"/>
      <c r="P1199" s="432"/>
      <c r="Q1199" s="432"/>
      <c r="R1199" s="432"/>
      <c r="S1199" s="432"/>
      <c r="T1199" s="441"/>
    </row>
    <row r="1200" spans="4:20" ht="13" thickBot="1">
      <c r="D1200" s="63"/>
      <c r="E1200" s="9" t="s">
        <v>611</v>
      </c>
      <c r="K1200" s="80">
        <v>0</v>
      </c>
      <c r="N1200" s="432">
        <f>N1194*$K1200</f>
        <v>0</v>
      </c>
      <c r="O1200" s="432"/>
      <c r="P1200" s="432"/>
      <c r="Q1200" s="432"/>
      <c r="R1200" s="432"/>
      <c r="S1200" s="432"/>
      <c r="T1200" s="441"/>
    </row>
    <row r="1201" spans="3:22" ht="13.5" thickBot="1">
      <c r="D1201" s="68"/>
      <c r="E1201" s="69" t="s">
        <v>607</v>
      </c>
      <c r="F1201" s="69"/>
      <c r="G1201" s="69"/>
      <c r="H1201" s="69"/>
      <c r="I1201" s="69"/>
      <c r="J1201" s="69"/>
      <c r="K1201" s="69"/>
      <c r="L1201" s="69"/>
      <c r="M1201" s="69"/>
      <c r="N1201" s="435" t="e">
        <f>SUM(N1195:O1200)</f>
        <v>#REF!</v>
      </c>
      <c r="O1201" s="435"/>
      <c r="P1201" s="81"/>
      <c r="Q1201" s="81"/>
      <c r="R1201" s="81"/>
      <c r="S1201" s="81"/>
      <c r="T1201" s="70"/>
    </row>
    <row r="1202" spans="3:22">
      <c r="D1202" s="63"/>
      <c r="E1202" s="9" t="s">
        <v>612</v>
      </c>
      <c r="K1202" s="72" t="e">
        <f>DESIGN_CONT.</f>
        <v>#REF!</v>
      </c>
      <c r="N1202" s="439" t="e">
        <f>N1201*$K1202</f>
        <v>#REF!</v>
      </c>
      <c r="O1202" s="439"/>
      <c r="P1202" s="439"/>
      <c r="Q1202" s="439"/>
      <c r="R1202" s="439"/>
      <c r="S1202" s="439"/>
      <c r="T1202" s="440"/>
    </row>
    <row r="1203" spans="3:22" ht="13" thickBot="1">
      <c r="D1203" s="63"/>
      <c r="E1203" s="9" t="s">
        <v>613</v>
      </c>
      <c r="K1203" s="72" t="e">
        <f>CONTINGENCY</f>
        <v>#REF!</v>
      </c>
      <c r="N1203" s="442" t="e">
        <f>N1201*$K1203</f>
        <v>#REF!</v>
      </c>
      <c r="O1203" s="442"/>
      <c r="P1203" s="442"/>
      <c r="Q1203" s="442"/>
      <c r="R1203" s="442"/>
      <c r="S1203" s="442"/>
      <c r="T1203" s="443"/>
    </row>
    <row r="1204" spans="3:22" ht="13.5" thickBot="1">
      <c r="C1204" s="1">
        <v>39</v>
      </c>
      <c r="D1204" s="68"/>
      <c r="E1204" s="69" t="s">
        <v>607</v>
      </c>
      <c r="F1204" s="69"/>
      <c r="G1204" s="69"/>
      <c r="H1204" s="69"/>
      <c r="I1204" s="69"/>
      <c r="J1204" s="69"/>
      <c r="K1204" s="69"/>
      <c r="L1204" s="69"/>
      <c r="M1204" s="69"/>
      <c r="N1204" s="435" t="e">
        <f>SUM(N1201:O1203)</f>
        <v>#REF!</v>
      </c>
      <c r="O1204" s="435"/>
      <c r="P1204" s="81"/>
      <c r="Q1204" s="81"/>
      <c r="R1204" s="81"/>
      <c r="S1204" s="81"/>
      <c r="T1204" s="70"/>
      <c r="V1204" s="76" t="s">
        <v>614</v>
      </c>
    </row>
    <row r="1205" spans="3:22" ht="13" thickBot="1">
      <c r="D1205" s="63"/>
      <c r="E1205" s="9" t="s">
        <v>615</v>
      </c>
      <c r="K1205" s="72" t="e">
        <f>FEE</f>
        <v>#REF!</v>
      </c>
      <c r="N1205" s="436" t="e">
        <f>N1204*$K1205</f>
        <v>#REF!</v>
      </c>
      <c r="O1205" s="436"/>
      <c r="P1205" s="436"/>
      <c r="Q1205" s="436"/>
      <c r="R1205" s="436"/>
      <c r="S1205" s="436"/>
      <c r="T1205" s="437"/>
    </row>
    <row r="1206" spans="3:22" ht="13.5" thickBot="1">
      <c r="D1206" s="68"/>
      <c r="E1206" s="69" t="s">
        <v>607</v>
      </c>
      <c r="F1206" s="69"/>
      <c r="G1206" s="69"/>
      <c r="H1206" s="69"/>
      <c r="I1206" s="69"/>
      <c r="J1206" s="69"/>
      <c r="K1206" s="69"/>
      <c r="L1206" s="69"/>
      <c r="M1206" s="69"/>
      <c r="N1206" s="435" t="e">
        <f>SUM(N1204:O1205)</f>
        <v>#REF!</v>
      </c>
      <c r="O1206" s="435"/>
      <c r="P1206" s="81"/>
      <c r="Q1206" s="81"/>
      <c r="R1206" s="81"/>
      <c r="S1206" s="81"/>
      <c r="T1206" s="70"/>
    </row>
    <row r="1207" spans="3:22" ht="13" thickBot="1">
      <c r="D1207" s="63"/>
      <c r="E1207" s="9" t="s">
        <v>616</v>
      </c>
      <c r="K1207" s="72">
        <v>0</v>
      </c>
      <c r="N1207" s="436" t="e">
        <f>N1206*$K1207</f>
        <v>#REF!</v>
      </c>
      <c r="O1207" s="436"/>
      <c r="P1207" s="436"/>
      <c r="Q1207" s="436"/>
      <c r="R1207" s="436"/>
      <c r="S1207" s="436"/>
      <c r="T1207" s="437"/>
    </row>
    <row r="1208" spans="3:22" ht="13.5" thickBot="1">
      <c r="D1208" s="73"/>
      <c r="E1208" s="74" t="s">
        <v>18</v>
      </c>
      <c r="F1208" s="74"/>
      <c r="G1208" s="74"/>
      <c r="H1208" s="74"/>
      <c r="I1208" s="74"/>
      <c r="J1208" s="74"/>
      <c r="K1208" s="74"/>
      <c r="L1208" s="74"/>
      <c r="M1208" s="74"/>
      <c r="N1208" s="438" t="e">
        <f>SUM(N1206:O1207)</f>
        <v>#REF!</v>
      </c>
      <c r="O1208" s="438"/>
      <c r="P1208" s="82"/>
      <c r="Q1208" s="82"/>
      <c r="R1208" s="82"/>
      <c r="S1208" s="82"/>
      <c r="T1208" s="75"/>
    </row>
    <row r="1209" spans="3:22" ht="13" thickTop="1"/>
    <row r="1210" spans="3:22" ht="13" thickBot="1"/>
    <row r="1211" spans="3:22" ht="13" thickTop="1">
      <c r="D1211" s="59" t="s">
        <v>572</v>
      </c>
      <c r="E1211" s="60" t="s">
        <v>573</v>
      </c>
      <c r="F1211" s="61"/>
      <c r="G1211" s="61"/>
      <c r="H1211" s="61"/>
      <c r="I1211" s="61"/>
      <c r="J1211" s="61"/>
      <c r="K1211" s="61"/>
      <c r="L1211" s="61"/>
      <c r="M1211" s="61"/>
      <c r="N1211" s="61"/>
      <c r="O1211" s="61"/>
      <c r="P1211" s="61"/>
      <c r="Q1211" s="61"/>
      <c r="R1211" s="61"/>
      <c r="S1211" s="61"/>
      <c r="T1211" s="62"/>
    </row>
    <row r="1212" spans="3:22">
      <c r="D1212" s="63" t="e">
        <f>#REF!</f>
        <v>#REF!</v>
      </c>
      <c r="E1212" t="e">
        <f>#REF!</f>
        <v>#REF!</v>
      </c>
      <c r="T1212" s="64"/>
    </row>
    <row r="1213" spans="3:22">
      <c r="D1213" s="65"/>
      <c r="E1213" s="66" t="s">
        <v>600</v>
      </c>
      <c r="F1213" s="66" t="s">
        <v>601</v>
      </c>
      <c r="G1213" s="45"/>
      <c r="H1213" s="45"/>
      <c r="I1213" s="45"/>
      <c r="J1213" s="45"/>
      <c r="K1213" s="374" t="s">
        <v>602</v>
      </c>
      <c r="L1213" s="374" t="s">
        <v>603</v>
      </c>
      <c r="M1213" s="374" t="s">
        <v>604</v>
      </c>
      <c r="N1213" s="444" t="s">
        <v>605</v>
      </c>
      <c r="O1213" s="444"/>
      <c r="P1213" s="444" t="s">
        <v>606</v>
      </c>
      <c r="Q1213" s="444"/>
      <c r="R1213" s="444"/>
      <c r="S1213" s="444"/>
      <c r="T1213" s="445"/>
    </row>
    <row r="1214" spans="3:22">
      <c r="D1214" s="63"/>
      <c r="M1214" s="67"/>
      <c r="N1214" s="446">
        <f t="shared" ref="N1214" si="117">K1214*M1214</f>
        <v>0</v>
      </c>
      <c r="O1214" s="446"/>
      <c r="P1214" s="446"/>
      <c r="Q1214" s="446"/>
      <c r="R1214" s="446"/>
      <c r="S1214" s="446"/>
      <c r="T1214" s="447"/>
    </row>
    <row r="1215" spans="3:22">
      <c r="D1215" s="63"/>
      <c r="L1215" s="9"/>
      <c r="M1215" s="67"/>
      <c r="N1215" s="432">
        <f>K1215*M1215</f>
        <v>0</v>
      </c>
      <c r="O1215" s="432"/>
      <c r="P1215" s="433"/>
      <c r="Q1215" s="433"/>
      <c r="R1215" s="433"/>
      <c r="S1215" s="433"/>
      <c r="T1215" s="434"/>
    </row>
    <row r="1216" spans="3:22">
      <c r="D1216" s="63"/>
      <c r="E1216" s="9"/>
      <c r="L1216" s="9"/>
      <c r="M1216" s="67"/>
      <c r="N1216" s="432">
        <f t="shared" ref="N1216:N1221" si="118">K1216*M1216</f>
        <v>0</v>
      </c>
      <c r="O1216" s="432"/>
      <c r="P1216" s="433"/>
      <c r="Q1216" s="433"/>
      <c r="R1216" s="433"/>
      <c r="S1216" s="433"/>
      <c r="T1216" s="434"/>
    </row>
    <row r="1217" spans="4:20">
      <c r="D1217" s="63"/>
      <c r="L1217" s="9"/>
      <c r="M1217" s="67"/>
      <c r="N1217" s="432">
        <f t="shared" si="118"/>
        <v>0</v>
      </c>
      <c r="O1217" s="432"/>
      <c r="P1217" s="433"/>
      <c r="Q1217" s="433"/>
      <c r="R1217" s="433"/>
      <c r="S1217" s="433"/>
      <c r="T1217" s="434"/>
    </row>
    <row r="1218" spans="4:20">
      <c r="D1218" s="63"/>
      <c r="L1218" s="9"/>
      <c r="M1218" s="67"/>
      <c r="N1218" s="432">
        <f t="shared" si="118"/>
        <v>0</v>
      </c>
      <c r="O1218" s="432"/>
      <c r="P1218" s="433"/>
      <c r="Q1218" s="433"/>
      <c r="R1218" s="433"/>
      <c r="S1218" s="433"/>
      <c r="T1218" s="434"/>
    </row>
    <row r="1219" spans="4:20">
      <c r="D1219" s="63"/>
      <c r="L1219" s="9"/>
      <c r="M1219" s="67"/>
      <c r="N1219" s="432">
        <f t="shared" si="118"/>
        <v>0</v>
      </c>
      <c r="O1219" s="432"/>
      <c r="P1219" s="433"/>
      <c r="Q1219" s="433"/>
      <c r="R1219" s="433"/>
      <c r="S1219" s="433"/>
      <c r="T1219" s="434"/>
    </row>
    <row r="1220" spans="4:20">
      <c r="D1220" s="63"/>
      <c r="M1220" s="67"/>
      <c r="N1220" s="432">
        <f t="shared" si="118"/>
        <v>0</v>
      </c>
      <c r="O1220" s="432"/>
      <c r="P1220" s="433"/>
      <c r="Q1220" s="433"/>
      <c r="R1220" s="433"/>
      <c r="S1220" s="433"/>
      <c r="T1220" s="434"/>
    </row>
    <row r="1221" spans="4:20" ht="13" thickBot="1">
      <c r="D1221" s="63"/>
      <c r="M1221" s="67"/>
      <c r="N1221" s="442">
        <f t="shared" si="118"/>
        <v>0</v>
      </c>
      <c r="O1221" s="442"/>
      <c r="P1221" s="442"/>
      <c r="Q1221" s="442"/>
      <c r="R1221" s="442"/>
      <c r="S1221" s="442"/>
      <c r="T1221" s="443"/>
    </row>
    <row r="1222" spans="4:20" ht="13.5" thickBot="1">
      <c r="D1222" s="68"/>
      <c r="E1222" s="69" t="s">
        <v>607</v>
      </c>
      <c r="F1222" s="69"/>
      <c r="G1222" s="69"/>
      <c r="H1222" s="69"/>
      <c r="I1222" s="69"/>
      <c r="J1222" s="69"/>
      <c r="K1222" s="69"/>
      <c r="L1222" s="69"/>
      <c r="M1222" s="69"/>
      <c r="N1222" s="435">
        <f>SUM(N1213:O1221)</f>
        <v>0</v>
      </c>
      <c r="O1222" s="435"/>
      <c r="P1222" s="81"/>
      <c r="Q1222" s="81"/>
      <c r="R1222" s="81"/>
      <c r="S1222" s="81"/>
      <c r="T1222" s="70"/>
    </row>
    <row r="1223" spans="4:20" ht="13" thickBot="1">
      <c r="D1223" s="63"/>
      <c r="E1223" s="9" t="s">
        <v>608</v>
      </c>
      <c r="N1223" s="436"/>
      <c r="O1223" s="436"/>
      <c r="P1223" s="436"/>
      <c r="Q1223" s="436"/>
      <c r="R1223" s="436"/>
      <c r="S1223" s="436"/>
      <c r="T1223" s="437"/>
    </row>
    <row r="1224" spans="4:20" ht="13.5" thickBot="1">
      <c r="D1224" s="68"/>
      <c r="E1224" s="69" t="s">
        <v>607</v>
      </c>
      <c r="F1224" s="69"/>
      <c r="G1224" s="69"/>
      <c r="H1224" s="69"/>
      <c r="I1224" s="69"/>
      <c r="J1224" s="69"/>
      <c r="K1224" s="69"/>
      <c r="L1224" s="69"/>
      <c r="M1224" s="69"/>
      <c r="N1224" s="435">
        <f>SUM(N1222:O1223)</f>
        <v>0</v>
      </c>
      <c r="O1224" s="435"/>
      <c r="P1224" s="81"/>
      <c r="Q1224" s="81"/>
      <c r="R1224" s="81"/>
      <c r="S1224" s="81"/>
      <c r="T1224" s="70"/>
    </row>
    <row r="1225" spans="4:20">
      <c r="D1225" s="63"/>
      <c r="E1225" s="9" t="s">
        <v>123</v>
      </c>
      <c r="K1225" s="71" t="e">
        <f>GL</f>
        <v>#REF!</v>
      </c>
      <c r="N1225" s="432" t="e">
        <f>$W1233*$K1225</f>
        <v>#REF!</v>
      </c>
      <c r="O1225" s="432"/>
      <c r="P1225" s="439"/>
      <c r="Q1225" s="439"/>
      <c r="R1225" s="439"/>
      <c r="S1225" s="439"/>
      <c r="T1225" s="440"/>
    </row>
    <row r="1226" spans="4:20">
      <c r="D1226" s="63"/>
      <c r="E1226" s="9" t="s">
        <v>124</v>
      </c>
      <c r="K1226" s="78" t="e">
        <f>BR</f>
        <v>#REF!</v>
      </c>
      <c r="N1226" s="432" t="e">
        <f>$W1233*$K1226</f>
        <v>#REF!</v>
      </c>
      <c r="O1226" s="432"/>
      <c r="P1226" s="432"/>
      <c r="Q1226" s="432"/>
      <c r="R1226" s="432"/>
      <c r="S1226" s="432"/>
      <c r="T1226" s="441"/>
    </row>
    <row r="1227" spans="4:20">
      <c r="D1227" s="63"/>
      <c r="E1227" s="9" t="s">
        <v>609</v>
      </c>
      <c r="K1227" s="78" t="e">
        <f>PERMIT</f>
        <v>#REF!</v>
      </c>
      <c r="N1227" s="432" t="e">
        <f>$W1233*$K1227</f>
        <v>#REF!</v>
      </c>
      <c r="O1227" s="432"/>
      <c r="P1227" s="432"/>
      <c r="Q1227" s="432"/>
      <c r="R1227" s="432"/>
      <c r="S1227" s="432"/>
      <c r="T1227" s="441"/>
    </row>
    <row r="1228" spans="4:20">
      <c r="D1228" s="63"/>
      <c r="E1228" s="9" t="s">
        <v>610</v>
      </c>
      <c r="K1228" s="79" t="e">
        <f>SDI</f>
        <v>#REF!</v>
      </c>
      <c r="N1228" s="432" t="e">
        <f>N1222*$K1228</f>
        <v>#REF!</v>
      </c>
      <c r="O1228" s="432"/>
      <c r="P1228" s="432"/>
      <c r="Q1228" s="432"/>
      <c r="R1228" s="432"/>
      <c r="S1228" s="432"/>
      <c r="T1228" s="441"/>
    </row>
    <row r="1229" spans="4:20" ht="13" thickBot="1">
      <c r="D1229" s="63"/>
      <c r="E1229" s="9" t="s">
        <v>611</v>
      </c>
      <c r="K1229" s="80">
        <v>0</v>
      </c>
      <c r="N1229" s="432">
        <f>N1223*$K1229</f>
        <v>0</v>
      </c>
      <c r="O1229" s="432"/>
      <c r="P1229" s="432"/>
      <c r="Q1229" s="432"/>
      <c r="R1229" s="432"/>
      <c r="S1229" s="432"/>
      <c r="T1229" s="441"/>
    </row>
    <row r="1230" spans="4:20" ht="13.5" thickBot="1">
      <c r="D1230" s="68"/>
      <c r="E1230" s="69" t="s">
        <v>607</v>
      </c>
      <c r="F1230" s="69"/>
      <c r="G1230" s="69"/>
      <c r="H1230" s="69"/>
      <c r="I1230" s="69"/>
      <c r="J1230" s="69"/>
      <c r="K1230" s="69"/>
      <c r="L1230" s="69"/>
      <c r="M1230" s="69"/>
      <c r="N1230" s="435" t="e">
        <f>SUM(N1224:O1229)</f>
        <v>#REF!</v>
      </c>
      <c r="O1230" s="435"/>
      <c r="P1230" s="81"/>
      <c r="Q1230" s="81"/>
      <c r="R1230" s="81"/>
      <c r="S1230" s="81"/>
      <c r="T1230" s="70"/>
    </row>
    <row r="1231" spans="4:20">
      <c r="D1231" s="63"/>
      <c r="E1231" s="9" t="s">
        <v>612</v>
      </c>
      <c r="K1231" s="72" t="e">
        <f>DESIGN_CONT.</f>
        <v>#REF!</v>
      </c>
      <c r="N1231" s="439" t="e">
        <f>N1230*$K1231</f>
        <v>#REF!</v>
      </c>
      <c r="O1231" s="439"/>
      <c r="P1231" s="439"/>
      <c r="Q1231" s="439"/>
      <c r="R1231" s="439"/>
      <c r="S1231" s="439"/>
      <c r="T1231" s="440"/>
    </row>
    <row r="1232" spans="4:20" ht="13" thickBot="1">
      <c r="D1232" s="63"/>
      <c r="E1232" s="9" t="s">
        <v>613</v>
      </c>
      <c r="K1232" s="72" t="e">
        <f>CONTINGENCY</f>
        <v>#REF!</v>
      </c>
      <c r="N1232" s="442" t="e">
        <f>N1230*$K1232</f>
        <v>#REF!</v>
      </c>
      <c r="O1232" s="442"/>
      <c r="P1232" s="442"/>
      <c r="Q1232" s="442"/>
      <c r="R1232" s="442"/>
      <c r="S1232" s="442"/>
      <c r="T1232" s="443"/>
    </row>
    <row r="1233" spans="3:22" ht="13.5" thickBot="1">
      <c r="C1233" s="1">
        <v>40</v>
      </c>
      <c r="D1233" s="68"/>
      <c r="E1233" s="69" t="s">
        <v>607</v>
      </c>
      <c r="F1233" s="69"/>
      <c r="G1233" s="69"/>
      <c r="H1233" s="69"/>
      <c r="I1233" s="69"/>
      <c r="J1233" s="69"/>
      <c r="K1233" s="69"/>
      <c r="L1233" s="69"/>
      <c r="M1233" s="69"/>
      <c r="N1233" s="435" t="e">
        <f>SUM(N1230:O1232)</f>
        <v>#REF!</v>
      </c>
      <c r="O1233" s="435"/>
      <c r="P1233" s="81"/>
      <c r="Q1233" s="81"/>
      <c r="R1233" s="81"/>
      <c r="S1233" s="81"/>
      <c r="T1233" s="70"/>
      <c r="V1233" s="76" t="s">
        <v>614</v>
      </c>
    </row>
    <row r="1234" spans="3:22" ht="13" thickBot="1">
      <c r="C1234" s="1"/>
      <c r="D1234" s="63"/>
      <c r="E1234" s="9" t="s">
        <v>615</v>
      </c>
      <c r="K1234" s="72" t="e">
        <f>FEE</f>
        <v>#REF!</v>
      </c>
      <c r="N1234" s="436" t="e">
        <f>N1233*$K1234</f>
        <v>#REF!</v>
      </c>
      <c r="O1234" s="436"/>
      <c r="P1234" s="436"/>
      <c r="Q1234" s="436"/>
      <c r="R1234" s="436"/>
      <c r="S1234" s="436"/>
      <c r="T1234" s="437"/>
    </row>
    <row r="1235" spans="3:22" ht="13.5" thickBot="1">
      <c r="C1235" s="1"/>
      <c r="D1235" s="68"/>
      <c r="E1235" s="69" t="s">
        <v>607</v>
      </c>
      <c r="F1235" s="69"/>
      <c r="G1235" s="69"/>
      <c r="H1235" s="69"/>
      <c r="I1235" s="69"/>
      <c r="J1235" s="69"/>
      <c r="K1235" s="69"/>
      <c r="L1235" s="69"/>
      <c r="M1235" s="69"/>
      <c r="N1235" s="435" t="e">
        <f>SUM(N1233:O1234)</f>
        <v>#REF!</v>
      </c>
      <c r="O1235" s="435"/>
      <c r="P1235" s="81"/>
      <c r="Q1235" s="81"/>
      <c r="R1235" s="81"/>
      <c r="S1235" s="81"/>
      <c r="T1235" s="70"/>
    </row>
    <row r="1236" spans="3:22" ht="13" thickBot="1">
      <c r="D1236" s="63"/>
      <c r="E1236" s="9" t="s">
        <v>616</v>
      </c>
      <c r="K1236" s="72">
        <v>0</v>
      </c>
      <c r="N1236" s="436" t="e">
        <f>N1235*$K1236</f>
        <v>#REF!</v>
      </c>
      <c r="O1236" s="436"/>
      <c r="P1236" s="436"/>
      <c r="Q1236" s="436"/>
      <c r="R1236" s="436"/>
      <c r="S1236" s="436"/>
      <c r="T1236" s="437"/>
    </row>
    <row r="1237" spans="3:22" ht="13.5" thickBot="1">
      <c r="D1237" s="73"/>
      <c r="E1237" s="74" t="s">
        <v>18</v>
      </c>
      <c r="F1237" s="74"/>
      <c r="G1237" s="74"/>
      <c r="H1237" s="74"/>
      <c r="I1237" s="74"/>
      <c r="J1237" s="74"/>
      <c r="K1237" s="74"/>
      <c r="L1237" s="74"/>
      <c r="M1237" s="74"/>
      <c r="N1237" s="438" t="e">
        <f>SUM(N1235:O1236)</f>
        <v>#REF!</v>
      </c>
      <c r="O1237" s="438"/>
      <c r="P1237" s="82"/>
      <c r="Q1237" s="82"/>
      <c r="R1237" s="82"/>
      <c r="S1237" s="82"/>
      <c r="T1237" s="75"/>
    </row>
    <row r="1238" spans="3:22" ht="13" thickTop="1"/>
    <row r="1239" spans="3:22" ht="13" thickBot="1"/>
    <row r="1240" spans="3:22" ht="13" thickTop="1">
      <c r="D1240" s="59" t="s">
        <v>572</v>
      </c>
      <c r="E1240" s="60" t="s">
        <v>573</v>
      </c>
      <c r="F1240" s="61"/>
      <c r="G1240" s="61"/>
      <c r="H1240" s="61"/>
      <c r="I1240" s="61"/>
      <c r="J1240" s="61"/>
      <c r="K1240" s="61"/>
      <c r="L1240" s="61"/>
      <c r="M1240" s="61"/>
      <c r="N1240" s="61"/>
      <c r="O1240" s="61"/>
      <c r="P1240" s="61"/>
      <c r="Q1240" s="61"/>
      <c r="R1240" s="61"/>
      <c r="S1240" s="61"/>
      <c r="T1240" s="62"/>
    </row>
    <row r="1241" spans="3:22">
      <c r="D1241" s="63" t="e">
        <f>#REF!</f>
        <v>#REF!</v>
      </c>
      <c r="E1241" t="e">
        <f>#REF!</f>
        <v>#REF!</v>
      </c>
      <c r="T1241" s="64"/>
    </row>
    <row r="1242" spans="3:22">
      <c r="D1242" s="65"/>
      <c r="E1242" s="66" t="s">
        <v>600</v>
      </c>
      <c r="F1242" s="66" t="s">
        <v>601</v>
      </c>
      <c r="G1242" s="45"/>
      <c r="H1242" s="45"/>
      <c r="I1242" s="45"/>
      <c r="J1242" s="45"/>
      <c r="K1242" s="374" t="s">
        <v>602</v>
      </c>
      <c r="L1242" s="374" t="s">
        <v>603</v>
      </c>
      <c r="M1242" s="374" t="s">
        <v>604</v>
      </c>
      <c r="N1242" s="444" t="s">
        <v>605</v>
      </c>
      <c r="O1242" s="444"/>
      <c r="P1242" s="444" t="s">
        <v>606</v>
      </c>
      <c r="Q1242" s="444"/>
      <c r="R1242" s="444"/>
      <c r="S1242" s="444"/>
      <c r="T1242" s="445"/>
    </row>
    <row r="1243" spans="3:22">
      <c r="D1243" s="63"/>
      <c r="M1243" s="67"/>
      <c r="N1243" s="446">
        <f t="shared" ref="N1243:N1245" si="119">K1243*M1243</f>
        <v>0</v>
      </c>
      <c r="O1243" s="446"/>
      <c r="P1243" s="446"/>
      <c r="Q1243" s="446"/>
      <c r="R1243" s="446"/>
      <c r="S1243" s="446"/>
      <c r="T1243" s="447"/>
    </row>
    <row r="1244" spans="3:22">
      <c r="D1244" s="63"/>
      <c r="L1244" s="9"/>
      <c r="M1244" s="67"/>
      <c r="N1244" s="432">
        <f t="shared" si="119"/>
        <v>0</v>
      </c>
      <c r="O1244" s="432"/>
      <c r="P1244" s="433"/>
      <c r="Q1244" s="433"/>
      <c r="R1244" s="433"/>
      <c r="S1244" s="433"/>
      <c r="T1244" s="434"/>
    </row>
    <row r="1245" spans="3:22">
      <c r="D1245" s="63"/>
      <c r="L1245" s="9"/>
      <c r="M1245" s="67"/>
      <c r="N1245" s="432">
        <f t="shared" si="119"/>
        <v>0</v>
      </c>
      <c r="O1245" s="432"/>
      <c r="P1245" s="433"/>
      <c r="Q1245" s="433"/>
      <c r="R1245" s="433"/>
      <c r="S1245" s="433"/>
      <c r="T1245" s="434"/>
    </row>
    <row r="1246" spans="3:22">
      <c r="D1246" s="63"/>
      <c r="L1246" s="9"/>
      <c r="M1246" s="67"/>
      <c r="N1246" s="432">
        <f>K1246*M1246</f>
        <v>0</v>
      </c>
      <c r="O1246" s="432"/>
      <c r="P1246" s="433"/>
      <c r="Q1246" s="433"/>
      <c r="R1246" s="433"/>
      <c r="S1246" s="433"/>
      <c r="T1246" s="434"/>
    </row>
    <row r="1247" spans="3:22">
      <c r="D1247" s="63"/>
      <c r="L1247" s="9"/>
      <c r="M1247" s="67"/>
      <c r="N1247" s="432">
        <f>K1247*M1247</f>
        <v>0</v>
      </c>
      <c r="O1247" s="432"/>
      <c r="P1247" s="433"/>
      <c r="Q1247" s="433"/>
      <c r="R1247" s="433"/>
      <c r="S1247" s="433"/>
      <c r="T1247" s="434"/>
    </row>
    <row r="1248" spans="3:22">
      <c r="D1248" s="63"/>
      <c r="L1248" s="9"/>
      <c r="M1248" s="67"/>
      <c r="N1248" s="432">
        <f>K1248*M1248</f>
        <v>0</v>
      </c>
      <c r="O1248" s="432"/>
      <c r="P1248" s="433"/>
      <c r="Q1248" s="433"/>
      <c r="R1248" s="433"/>
      <c r="S1248" s="433"/>
      <c r="T1248" s="434"/>
    </row>
    <row r="1249" spans="4:20">
      <c r="D1249" s="63"/>
      <c r="E1249" s="9"/>
      <c r="L1249" s="9"/>
      <c r="M1249" s="67"/>
      <c r="N1249" s="432">
        <f t="shared" ref="N1249:N1258" si="120">K1249*M1249</f>
        <v>0</v>
      </c>
      <c r="O1249" s="432"/>
      <c r="P1249" s="433"/>
      <c r="Q1249" s="433"/>
      <c r="R1249" s="433"/>
      <c r="S1249" s="433"/>
      <c r="T1249" s="434"/>
    </row>
    <row r="1250" spans="4:20">
      <c r="D1250" s="63"/>
      <c r="L1250" s="9"/>
      <c r="M1250" s="67"/>
      <c r="N1250" s="432">
        <f t="shared" si="120"/>
        <v>0</v>
      </c>
      <c r="O1250" s="432"/>
      <c r="P1250" s="433"/>
      <c r="Q1250" s="433"/>
      <c r="R1250" s="433"/>
      <c r="S1250" s="433"/>
      <c r="T1250" s="434"/>
    </row>
    <row r="1251" spans="4:20">
      <c r="D1251" s="63"/>
      <c r="L1251" s="9"/>
      <c r="M1251" s="67"/>
      <c r="N1251" s="432">
        <f t="shared" ref="N1251:N1254" si="121">K1251*M1251</f>
        <v>0</v>
      </c>
      <c r="O1251" s="432"/>
      <c r="P1251" s="433"/>
      <c r="Q1251" s="433"/>
      <c r="R1251" s="433"/>
      <c r="S1251" s="433"/>
      <c r="T1251" s="434"/>
    </row>
    <row r="1252" spans="4:20">
      <c r="D1252" s="63"/>
      <c r="L1252" s="9"/>
      <c r="M1252" s="67"/>
      <c r="N1252" s="432">
        <f t="shared" ref="N1252" si="122">K1252*M1252</f>
        <v>0</v>
      </c>
      <c r="O1252" s="432"/>
      <c r="P1252" s="433"/>
      <c r="Q1252" s="433"/>
      <c r="R1252" s="433"/>
      <c r="S1252" s="433"/>
      <c r="T1252" s="434"/>
    </row>
    <row r="1253" spans="4:20">
      <c r="D1253" s="63"/>
      <c r="L1253" s="9"/>
      <c r="M1253" s="67"/>
      <c r="N1253" s="432">
        <f t="shared" si="121"/>
        <v>0</v>
      </c>
      <c r="O1253" s="432"/>
      <c r="P1253" s="433"/>
      <c r="Q1253" s="433"/>
      <c r="R1253" s="433"/>
      <c r="S1253" s="433"/>
      <c r="T1253" s="434"/>
    </row>
    <row r="1254" spans="4:20">
      <c r="D1254" s="63"/>
      <c r="M1254" s="67"/>
      <c r="N1254" s="432">
        <f t="shared" si="121"/>
        <v>0</v>
      </c>
      <c r="O1254" s="432"/>
      <c r="P1254" s="433"/>
      <c r="Q1254" s="433"/>
      <c r="R1254" s="433"/>
      <c r="S1254" s="433"/>
      <c r="T1254" s="434"/>
    </row>
    <row r="1255" spans="4:20">
      <c r="D1255" s="63"/>
      <c r="L1255" s="9"/>
      <c r="M1255" s="67"/>
      <c r="N1255" s="432">
        <f t="shared" si="120"/>
        <v>0</v>
      </c>
      <c r="O1255" s="432"/>
      <c r="P1255" s="433"/>
      <c r="Q1255" s="433"/>
      <c r="R1255" s="433"/>
      <c r="S1255" s="433"/>
      <c r="T1255" s="434"/>
    </row>
    <row r="1256" spans="4:20">
      <c r="D1256" s="63"/>
      <c r="L1256" s="9"/>
      <c r="M1256" s="67"/>
      <c r="N1256" s="432">
        <f t="shared" si="120"/>
        <v>0</v>
      </c>
      <c r="O1256" s="432"/>
      <c r="P1256" s="433"/>
      <c r="Q1256" s="433"/>
      <c r="R1256" s="433"/>
      <c r="S1256" s="433"/>
      <c r="T1256" s="434"/>
    </row>
    <row r="1257" spans="4:20">
      <c r="D1257" s="63"/>
      <c r="M1257" s="67"/>
      <c r="N1257" s="432">
        <f t="shared" si="120"/>
        <v>0</v>
      </c>
      <c r="O1257" s="432"/>
      <c r="P1257" s="433"/>
      <c r="Q1257" s="433"/>
      <c r="R1257" s="433"/>
      <c r="S1257" s="433"/>
      <c r="T1257" s="434"/>
    </row>
    <row r="1258" spans="4:20" ht="13" thickBot="1">
      <c r="D1258" s="63"/>
      <c r="M1258" s="67"/>
      <c r="N1258" s="442">
        <f t="shared" si="120"/>
        <v>0</v>
      </c>
      <c r="O1258" s="442"/>
      <c r="P1258" s="442"/>
      <c r="Q1258" s="442"/>
      <c r="R1258" s="442"/>
      <c r="S1258" s="442"/>
      <c r="T1258" s="443"/>
    </row>
    <row r="1259" spans="4:20" ht="13.5" thickBot="1">
      <c r="D1259" s="68"/>
      <c r="E1259" s="69" t="s">
        <v>607</v>
      </c>
      <c r="F1259" s="69"/>
      <c r="G1259" s="69"/>
      <c r="H1259" s="69"/>
      <c r="I1259" s="69"/>
      <c r="J1259" s="69"/>
      <c r="K1259" s="69"/>
      <c r="L1259" s="69"/>
      <c r="M1259" s="69"/>
      <c r="N1259" s="435">
        <f>SUM(N1242:O1258)</f>
        <v>0</v>
      </c>
      <c r="O1259" s="435"/>
      <c r="P1259" s="81"/>
      <c r="Q1259" s="81"/>
      <c r="R1259" s="81"/>
      <c r="S1259" s="81"/>
      <c r="T1259" s="70"/>
    </row>
    <row r="1260" spans="4:20" ht="13" thickBot="1">
      <c r="D1260" s="63"/>
      <c r="E1260" s="9" t="s">
        <v>608</v>
      </c>
      <c r="N1260" s="436"/>
      <c r="O1260" s="436"/>
      <c r="P1260" s="436"/>
      <c r="Q1260" s="436"/>
      <c r="R1260" s="436"/>
      <c r="S1260" s="436"/>
      <c r="T1260" s="437"/>
    </row>
    <row r="1261" spans="4:20" ht="13.5" thickBot="1">
      <c r="D1261" s="68"/>
      <c r="E1261" s="69" t="s">
        <v>607</v>
      </c>
      <c r="F1261" s="69"/>
      <c r="G1261" s="69"/>
      <c r="H1261" s="69"/>
      <c r="I1261" s="69"/>
      <c r="J1261" s="69"/>
      <c r="K1261" s="69"/>
      <c r="L1261" s="69"/>
      <c r="M1261" s="69"/>
      <c r="N1261" s="435">
        <f>SUM(N1259:O1260)</f>
        <v>0</v>
      </c>
      <c r="O1261" s="435"/>
      <c r="P1261" s="81"/>
      <c r="Q1261" s="81"/>
      <c r="R1261" s="81"/>
      <c r="S1261" s="81"/>
      <c r="T1261" s="70"/>
    </row>
    <row r="1262" spans="4:20">
      <c r="D1262" s="63"/>
      <c r="E1262" s="9" t="s">
        <v>123</v>
      </c>
      <c r="K1262" s="71" t="e">
        <f>GL</f>
        <v>#REF!</v>
      </c>
      <c r="N1262" s="432" t="e">
        <f>$W1270*$K1262</f>
        <v>#REF!</v>
      </c>
      <c r="O1262" s="432"/>
      <c r="P1262" s="439"/>
      <c r="Q1262" s="439"/>
      <c r="R1262" s="439"/>
      <c r="S1262" s="439"/>
      <c r="T1262" s="440"/>
    </row>
    <row r="1263" spans="4:20">
      <c r="D1263" s="63"/>
      <c r="E1263" s="9" t="s">
        <v>124</v>
      </c>
      <c r="K1263" s="78" t="e">
        <f>BR</f>
        <v>#REF!</v>
      </c>
      <c r="N1263" s="432" t="e">
        <f>$W1270*$K1263</f>
        <v>#REF!</v>
      </c>
      <c r="O1263" s="432"/>
      <c r="P1263" s="432"/>
      <c r="Q1263" s="432"/>
      <c r="R1263" s="432"/>
      <c r="S1263" s="432"/>
      <c r="T1263" s="441"/>
    </row>
    <row r="1264" spans="4:20">
      <c r="D1264" s="63"/>
      <c r="E1264" s="9" t="s">
        <v>609</v>
      </c>
      <c r="K1264" s="78" t="e">
        <f>PERMIT</f>
        <v>#REF!</v>
      </c>
      <c r="N1264" s="432" t="e">
        <f>$W1270*$K1264</f>
        <v>#REF!</v>
      </c>
      <c r="O1264" s="432"/>
      <c r="P1264" s="432"/>
      <c r="Q1264" s="432"/>
      <c r="R1264" s="432"/>
      <c r="S1264" s="432"/>
      <c r="T1264" s="441"/>
    </row>
    <row r="1265" spans="3:22">
      <c r="D1265" s="63"/>
      <c r="E1265" s="9" t="s">
        <v>610</v>
      </c>
      <c r="K1265" s="79" t="e">
        <f>SDI</f>
        <v>#REF!</v>
      </c>
      <c r="N1265" s="432" t="e">
        <f>N1259*$K1265</f>
        <v>#REF!</v>
      </c>
      <c r="O1265" s="432"/>
      <c r="P1265" s="432"/>
      <c r="Q1265" s="432"/>
      <c r="R1265" s="432"/>
      <c r="S1265" s="432"/>
      <c r="T1265" s="441"/>
    </row>
    <row r="1266" spans="3:22" ht="13" thickBot="1">
      <c r="D1266" s="63"/>
      <c r="E1266" s="9" t="s">
        <v>611</v>
      </c>
      <c r="K1266" s="80">
        <v>0</v>
      </c>
      <c r="N1266" s="432">
        <f>N1260*$K1266</f>
        <v>0</v>
      </c>
      <c r="O1266" s="432"/>
      <c r="P1266" s="432"/>
      <c r="Q1266" s="432"/>
      <c r="R1266" s="432"/>
      <c r="S1266" s="432"/>
      <c r="T1266" s="441"/>
    </row>
    <row r="1267" spans="3:22" ht="13.5" thickBot="1">
      <c r="D1267" s="68"/>
      <c r="E1267" s="69" t="s">
        <v>607</v>
      </c>
      <c r="F1267" s="69"/>
      <c r="G1267" s="69"/>
      <c r="H1267" s="69"/>
      <c r="I1267" s="69"/>
      <c r="J1267" s="69"/>
      <c r="K1267" s="69"/>
      <c r="L1267" s="69"/>
      <c r="M1267" s="69"/>
      <c r="N1267" s="435" t="e">
        <f>SUM(N1261:O1266)</f>
        <v>#REF!</v>
      </c>
      <c r="O1267" s="435"/>
      <c r="P1267" s="81"/>
      <c r="Q1267" s="81"/>
      <c r="R1267" s="81"/>
      <c r="S1267" s="81"/>
      <c r="T1267" s="70"/>
    </row>
    <row r="1268" spans="3:22">
      <c r="D1268" s="63"/>
      <c r="E1268" s="9" t="s">
        <v>612</v>
      </c>
      <c r="K1268" s="72" t="e">
        <f>DESIGN_CONT.</f>
        <v>#REF!</v>
      </c>
      <c r="N1268" s="439" t="e">
        <f>N1267*$K1268</f>
        <v>#REF!</v>
      </c>
      <c r="O1268" s="439"/>
      <c r="P1268" s="439"/>
      <c r="Q1268" s="439"/>
      <c r="R1268" s="439"/>
      <c r="S1268" s="439"/>
      <c r="T1268" s="440"/>
    </row>
    <row r="1269" spans="3:22" ht="13" thickBot="1">
      <c r="D1269" s="63"/>
      <c r="E1269" s="9" t="s">
        <v>613</v>
      </c>
      <c r="K1269" s="72" t="e">
        <f>CONTINGENCY</f>
        <v>#REF!</v>
      </c>
      <c r="N1269" s="442" t="e">
        <f>N1267*$K1269</f>
        <v>#REF!</v>
      </c>
      <c r="O1269" s="442"/>
      <c r="P1269" s="442"/>
      <c r="Q1269" s="442"/>
      <c r="R1269" s="442"/>
      <c r="S1269" s="442"/>
      <c r="T1269" s="443"/>
    </row>
    <row r="1270" spans="3:22" ht="13.5" thickBot="1">
      <c r="C1270" s="1">
        <v>41</v>
      </c>
      <c r="D1270" s="68"/>
      <c r="E1270" s="69" t="s">
        <v>607</v>
      </c>
      <c r="F1270" s="69"/>
      <c r="G1270" s="69"/>
      <c r="H1270" s="69"/>
      <c r="I1270" s="69"/>
      <c r="J1270" s="69"/>
      <c r="K1270" s="69"/>
      <c r="L1270" s="69"/>
      <c r="M1270" s="69"/>
      <c r="N1270" s="435" t="e">
        <f>SUM(N1267:O1269)</f>
        <v>#REF!</v>
      </c>
      <c r="O1270" s="435"/>
      <c r="P1270" s="81"/>
      <c r="Q1270" s="81"/>
      <c r="R1270" s="81"/>
      <c r="S1270" s="81"/>
      <c r="T1270" s="70"/>
      <c r="V1270" s="76" t="s">
        <v>614</v>
      </c>
    </row>
    <row r="1271" spans="3:22" ht="13" thickBot="1">
      <c r="D1271" s="63"/>
      <c r="E1271" s="9" t="s">
        <v>615</v>
      </c>
      <c r="K1271" s="72" t="e">
        <f>FEE</f>
        <v>#REF!</v>
      </c>
      <c r="N1271" s="436" t="e">
        <f>N1270*$K1271</f>
        <v>#REF!</v>
      </c>
      <c r="O1271" s="436"/>
      <c r="P1271" s="436"/>
      <c r="Q1271" s="436"/>
      <c r="R1271" s="436"/>
      <c r="S1271" s="436"/>
      <c r="T1271" s="437"/>
    </row>
    <row r="1272" spans="3:22" ht="13.5" thickBot="1">
      <c r="D1272" s="68"/>
      <c r="E1272" s="69" t="s">
        <v>607</v>
      </c>
      <c r="F1272" s="69"/>
      <c r="G1272" s="69"/>
      <c r="H1272" s="69"/>
      <c r="I1272" s="69"/>
      <c r="J1272" s="69"/>
      <c r="K1272" s="69"/>
      <c r="L1272" s="69"/>
      <c r="M1272" s="69"/>
      <c r="N1272" s="435" t="e">
        <f>SUM(N1270:O1271)</f>
        <v>#REF!</v>
      </c>
      <c r="O1272" s="435"/>
      <c r="P1272" s="81"/>
      <c r="Q1272" s="81"/>
      <c r="R1272" s="81"/>
      <c r="S1272" s="81"/>
      <c r="T1272" s="70"/>
    </row>
    <row r="1273" spans="3:22" ht="13" thickBot="1">
      <c r="D1273" s="63"/>
      <c r="E1273" s="9" t="s">
        <v>616</v>
      </c>
      <c r="K1273" s="72">
        <v>0</v>
      </c>
      <c r="N1273" s="436" t="e">
        <f>N1272*$K1273</f>
        <v>#REF!</v>
      </c>
      <c r="O1273" s="436"/>
      <c r="P1273" s="436"/>
      <c r="Q1273" s="436"/>
      <c r="R1273" s="436"/>
      <c r="S1273" s="436"/>
      <c r="T1273" s="437"/>
    </row>
    <row r="1274" spans="3:22" ht="13.5" thickBot="1">
      <c r="D1274" s="73"/>
      <c r="E1274" s="74" t="s">
        <v>18</v>
      </c>
      <c r="F1274" s="74"/>
      <c r="G1274" s="74"/>
      <c r="H1274" s="74"/>
      <c r="I1274" s="74"/>
      <c r="J1274" s="74"/>
      <c r="K1274" s="74"/>
      <c r="L1274" s="74"/>
      <c r="M1274" s="74"/>
      <c r="N1274" s="438" t="e">
        <f>SUM(N1272:O1273)</f>
        <v>#REF!</v>
      </c>
      <c r="O1274" s="438"/>
      <c r="P1274" s="82"/>
      <c r="Q1274" s="82"/>
      <c r="R1274" s="82"/>
      <c r="S1274" s="82"/>
      <c r="T1274" s="75"/>
      <c r="U1274" s="398"/>
    </row>
    <row r="1275" spans="3:22" ht="13" thickTop="1"/>
    <row r="1276" spans="3:22" ht="13" thickBot="1"/>
    <row r="1277" spans="3:22" ht="13" thickTop="1">
      <c r="D1277" s="59" t="s">
        <v>572</v>
      </c>
      <c r="E1277" s="60" t="s">
        <v>573</v>
      </c>
      <c r="F1277" s="61"/>
      <c r="G1277" s="61"/>
      <c r="H1277" s="61"/>
      <c r="I1277" s="61"/>
      <c r="J1277" s="61"/>
      <c r="K1277" s="61"/>
      <c r="L1277" s="61"/>
      <c r="M1277" s="61"/>
      <c r="N1277" s="61"/>
      <c r="O1277" s="61"/>
      <c r="P1277" s="61"/>
      <c r="Q1277" s="61"/>
      <c r="R1277" s="61"/>
      <c r="S1277" s="61"/>
      <c r="T1277" s="62"/>
    </row>
    <row r="1278" spans="3:22">
      <c r="D1278" s="63" t="e">
        <f>#REF!</f>
        <v>#REF!</v>
      </c>
      <c r="E1278" t="e">
        <f>#REF!</f>
        <v>#REF!</v>
      </c>
      <c r="T1278" s="64"/>
    </row>
    <row r="1279" spans="3:22">
      <c r="D1279" s="65"/>
      <c r="E1279" s="66" t="s">
        <v>600</v>
      </c>
      <c r="F1279" s="66" t="s">
        <v>601</v>
      </c>
      <c r="G1279" s="45"/>
      <c r="H1279" s="45"/>
      <c r="I1279" s="45"/>
      <c r="J1279" s="45"/>
      <c r="K1279" s="374" t="s">
        <v>602</v>
      </c>
      <c r="L1279" s="374" t="s">
        <v>603</v>
      </c>
      <c r="M1279" s="374" t="s">
        <v>604</v>
      </c>
      <c r="N1279" s="444" t="s">
        <v>605</v>
      </c>
      <c r="O1279" s="444"/>
      <c r="P1279" s="444" t="s">
        <v>606</v>
      </c>
      <c r="Q1279" s="444"/>
      <c r="R1279" s="444"/>
      <c r="S1279" s="444"/>
      <c r="T1279" s="445"/>
    </row>
    <row r="1280" spans="3:22">
      <c r="D1280" s="63"/>
      <c r="M1280" s="67"/>
      <c r="N1280" s="446">
        <f t="shared" ref="N1280:N1282" si="123">K1280*M1280</f>
        <v>0</v>
      </c>
      <c r="O1280" s="446"/>
      <c r="P1280" s="446"/>
      <c r="Q1280" s="446"/>
      <c r="R1280" s="446"/>
      <c r="S1280" s="446"/>
      <c r="T1280" s="447"/>
    </row>
    <row r="1281" spans="4:20">
      <c r="D1281" s="63"/>
      <c r="F1281" s="9"/>
      <c r="L1281" s="9"/>
      <c r="M1281" s="67"/>
      <c r="N1281" s="432">
        <f t="shared" si="123"/>
        <v>0</v>
      </c>
      <c r="O1281" s="432"/>
      <c r="P1281" s="433"/>
      <c r="Q1281" s="433"/>
      <c r="R1281" s="433"/>
      <c r="S1281" s="433"/>
      <c r="T1281" s="434"/>
    </row>
    <row r="1282" spans="4:20">
      <c r="D1282" s="63"/>
      <c r="F1282" s="9"/>
      <c r="L1282" s="9"/>
      <c r="M1282" s="67"/>
      <c r="N1282" s="432">
        <f t="shared" si="123"/>
        <v>0</v>
      </c>
      <c r="O1282" s="432"/>
      <c r="P1282" s="433"/>
      <c r="Q1282" s="433"/>
      <c r="R1282" s="433"/>
      <c r="S1282" s="433"/>
      <c r="T1282" s="434"/>
    </row>
    <row r="1283" spans="4:20">
      <c r="D1283" s="63"/>
      <c r="F1283" s="9"/>
      <c r="L1283" s="9"/>
      <c r="M1283" s="67"/>
      <c r="N1283" s="432">
        <f>K1283*M1283</f>
        <v>0</v>
      </c>
      <c r="O1283" s="432"/>
      <c r="P1283" s="433"/>
      <c r="Q1283" s="433"/>
      <c r="R1283" s="433"/>
      <c r="S1283" s="433"/>
      <c r="T1283" s="434"/>
    </row>
    <row r="1284" spans="4:20">
      <c r="D1284" s="63"/>
      <c r="L1284" s="9"/>
      <c r="M1284" s="67"/>
      <c r="N1284" s="432">
        <f>K1284*M1284</f>
        <v>0</v>
      </c>
      <c r="O1284" s="432"/>
      <c r="P1284" s="433"/>
      <c r="Q1284" s="433"/>
      <c r="R1284" s="433"/>
      <c r="S1284" s="433"/>
      <c r="T1284" s="434"/>
    </row>
    <row r="1285" spans="4:20">
      <c r="D1285" s="63"/>
      <c r="L1285" s="9"/>
      <c r="M1285" s="67"/>
      <c r="N1285" s="432">
        <f>K1285*M1285</f>
        <v>0</v>
      </c>
      <c r="O1285" s="432"/>
      <c r="P1285" s="433"/>
      <c r="Q1285" s="433"/>
      <c r="R1285" s="433"/>
      <c r="S1285" s="433"/>
      <c r="T1285" s="434"/>
    </row>
    <row r="1286" spans="4:20">
      <c r="D1286" s="63"/>
      <c r="E1286" s="9"/>
      <c r="L1286" s="9"/>
      <c r="M1286" s="67"/>
      <c r="N1286" s="432">
        <f t="shared" ref="N1286:N1295" si="124">K1286*M1286</f>
        <v>0</v>
      </c>
      <c r="O1286" s="432"/>
      <c r="P1286" s="433"/>
      <c r="Q1286" s="433"/>
      <c r="R1286" s="433"/>
      <c r="S1286" s="433"/>
      <c r="T1286" s="434"/>
    </row>
    <row r="1287" spans="4:20">
      <c r="D1287" s="63"/>
      <c r="L1287" s="9"/>
      <c r="M1287" s="67"/>
      <c r="N1287" s="432">
        <f t="shared" si="124"/>
        <v>0</v>
      </c>
      <c r="O1287" s="432"/>
      <c r="P1287" s="433"/>
      <c r="Q1287" s="433"/>
      <c r="R1287" s="433"/>
      <c r="S1287" s="433"/>
      <c r="T1287" s="434"/>
    </row>
    <row r="1288" spans="4:20">
      <c r="D1288" s="63"/>
      <c r="L1288" s="9"/>
      <c r="M1288" s="67"/>
      <c r="N1288" s="432">
        <f t="shared" si="124"/>
        <v>0</v>
      </c>
      <c r="O1288" s="432"/>
      <c r="P1288" s="433"/>
      <c r="Q1288" s="433"/>
      <c r="R1288" s="433"/>
      <c r="S1288" s="433"/>
      <c r="T1288" s="434"/>
    </row>
    <row r="1289" spans="4:20">
      <c r="D1289" s="63"/>
      <c r="L1289" s="9"/>
      <c r="M1289" s="67"/>
      <c r="N1289" s="432">
        <f t="shared" si="124"/>
        <v>0</v>
      </c>
      <c r="O1289" s="432"/>
      <c r="P1289" s="433"/>
      <c r="Q1289" s="433"/>
      <c r="R1289" s="433"/>
      <c r="S1289" s="433"/>
      <c r="T1289" s="434"/>
    </row>
    <row r="1290" spans="4:20">
      <c r="D1290" s="63"/>
      <c r="L1290" s="9"/>
      <c r="M1290" s="67"/>
      <c r="N1290" s="432">
        <f t="shared" si="124"/>
        <v>0</v>
      </c>
      <c r="O1290" s="432"/>
      <c r="P1290" s="433"/>
      <c r="Q1290" s="433"/>
      <c r="R1290" s="433"/>
      <c r="S1290" s="433"/>
      <c r="T1290" s="434"/>
    </row>
    <row r="1291" spans="4:20">
      <c r="D1291" s="63"/>
      <c r="M1291" s="67"/>
      <c r="N1291" s="432">
        <f t="shared" si="124"/>
        <v>0</v>
      </c>
      <c r="O1291" s="432"/>
      <c r="P1291" s="433"/>
      <c r="Q1291" s="433"/>
      <c r="R1291" s="433"/>
      <c r="S1291" s="433"/>
      <c r="T1291" s="434"/>
    </row>
    <row r="1292" spans="4:20">
      <c r="D1292" s="63"/>
      <c r="L1292" s="9"/>
      <c r="M1292" s="67"/>
      <c r="N1292" s="432">
        <f t="shared" si="124"/>
        <v>0</v>
      </c>
      <c r="O1292" s="432"/>
      <c r="P1292" s="433"/>
      <c r="Q1292" s="433"/>
      <c r="R1292" s="433"/>
      <c r="S1292" s="433"/>
      <c r="T1292" s="434"/>
    </row>
    <row r="1293" spans="4:20">
      <c r="D1293" s="63"/>
      <c r="L1293" s="9"/>
      <c r="M1293" s="67"/>
      <c r="N1293" s="432">
        <f t="shared" si="124"/>
        <v>0</v>
      </c>
      <c r="O1293" s="432"/>
      <c r="P1293" s="433"/>
      <c r="Q1293" s="433"/>
      <c r="R1293" s="433"/>
      <c r="S1293" s="433"/>
      <c r="T1293" s="434"/>
    </row>
    <row r="1294" spans="4:20">
      <c r="D1294" s="63"/>
      <c r="M1294" s="67"/>
      <c r="N1294" s="432">
        <f t="shared" si="124"/>
        <v>0</v>
      </c>
      <c r="O1294" s="432"/>
      <c r="P1294" s="433"/>
      <c r="Q1294" s="433"/>
      <c r="R1294" s="433"/>
      <c r="S1294" s="433"/>
      <c r="T1294" s="434"/>
    </row>
    <row r="1295" spans="4:20" ht="13" thickBot="1">
      <c r="D1295" s="63"/>
      <c r="M1295" s="67"/>
      <c r="N1295" s="442">
        <f t="shared" si="124"/>
        <v>0</v>
      </c>
      <c r="O1295" s="442"/>
      <c r="P1295" s="442"/>
      <c r="Q1295" s="442"/>
      <c r="R1295" s="442"/>
      <c r="S1295" s="442"/>
      <c r="T1295" s="443"/>
    </row>
    <row r="1296" spans="4:20" ht="13.5" thickBot="1">
      <c r="D1296" s="68"/>
      <c r="E1296" s="69" t="s">
        <v>607</v>
      </c>
      <c r="F1296" s="69"/>
      <c r="G1296" s="69"/>
      <c r="H1296" s="69"/>
      <c r="I1296" s="69"/>
      <c r="J1296" s="69"/>
      <c r="K1296" s="69"/>
      <c r="L1296" s="69"/>
      <c r="M1296" s="69"/>
      <c r="N1296" s="435">
        <f>SUM(N1279:O1295)</f>
        <v>0</v>
      </c>
      <c r="O1296" s="435"/>
      <c r="P1296" s="81"/>
      <c r="Q1296" s="81"/>
      <c r="R1296" s="81"/>
      <c r="S1296" s="81"/>
      <c r="T1296" s="70"/>
    </row>
    <row r="1297" spans="3:22" ht="13" thickBot="1">
      <c r="D1297" s="63"/>
      <c r="E1297" s="9" t="s">
        <v>608</v>
      </c>
      <c r="N1297" s="436"/>
      <c r="O1297" s="436"/>
      <c r="P1297" s="436"/>
      <c r="Q1297" s="436"/>
      <c r="R1297" s="436"/>
      <c r="S1297" s="436"/>
      <c r="T1297" s="437"/>
    </row>
    <row r="1298" spans="3:22" ht="13.5" thickBot="1">
      <c r="D1298" s="68"/>
      <c r="E1298" s="69" t="s">
        <v>607</v>
      </c>
      <c r="F1298" s="69"/>
      <c r="G1298" s="69"/>
      <c r="H1298" s="69"/>
      <c r="I1298" s="69"/>
      <c r="J1298" s="69"/>
      <c r="K1298" s="69"/>
      <c r="L1298" s="69"/>
      <c r="M1298" s="69"/>
      <c r="N1298" s="435">
        <f>SUM(N1296:O1297)</f>
        <v>0</v>
      </c>
      <c r="O1298" s="435"/>
      <c r="P1298" s="81"/>
      <c r="Q1298" s="81"/>
      <c r="R1298" s="81"/>
      <c r="S1298" s="81"/>
      <c r="T1298" s="70"/>
    </row>
    <row r="1299" spans="3:22">
      <c r="D1299" s="63"/>
      <c r="E1299" s="9" t="s">
        <v>123</v>
      </c>
      <c r="K1299" s="71" t="e">
        <f>GL</f>
        <v>#REF!</v>
      </c>
      <c r="N1299" s="432" t="e">
        <f>$W1307*$K1299</f>
        <v>#REF!</v>
      </c>
      <c r="O1299" s="432"/>
      <c r="P1299" s="439"/>
      <c r="Q1299" s="439"/>
      <c r="R1299" s="439"/>
      <c r="S1299" s="439"/>
      <c r="T1299" s="440"/>
    </row>
    <row r="1300" spans="3:22">
      <c r="D1300" s="63"/>
      <c r="E1300" s="9" t="s">
        <v>124</v>
      </c>
      <c r="K1300" s="78" t="e">
        <f>BR</f>
        <v>#REF!</v>
      </c>
      <c r="N1300" s="432" t="e">
        <f>$W1307*$K1300</f>
        <v>#REF!</v>
      </c>
      <c r="O1300" s="432"/>
      <c r="P1300" s="432"/>
      <c r="Q1300" s="432"/>
      <c r="R1300" s="432"/>
      <c r="S1300" s="432"/>
      <c r="T1300" s="441"/>
    </row>
    <row r="1301" spans="3:22">
      <c r="D1301" s="63"/>
      <c r="E1301" s="9" t="s">
        <v>609</v>
      </c>
      <c r="K1301" s="78" t="e">
        <f>PERMIT</f>
        <v>#REF!</v>
      </c>
      <c r="N1301" s="432" t="e">
        <f>$W1307*$K1301</f>
        <v>#REF!</v>
      </c>
      <c r="O1301" s="432"/>
      <c r="P1301" s="432"/>
      <c r="Q1301" s="432"/>
      <c r="R1301" s="432"/>
      <c r="S1301" s="432"/>
      <c r="T1301" s="441"/>
    </row>
    <row r="1302" spans="3:22">
      <c r="D1302" s="63"/>
      <c r="E1302" s="9" t="s">
        <v>610</v>
      </c>
      <c r="K1302" s="79" t="e">
        <f>SDI</f>
        <v>#REF!</v>
      </c>
      <c r="N1302" s="432" t="e">
        <f>N1296*$K1302</f>
        <v>#REF!</v>
      </c>
      <c r="O1302" s="432"/>
      <c r="P1302" s="432"/>
      <c r="Q1302" s="432"/>
      <c r="R1302" s="432"/>
      <c r="S1302" s="432"/>
      <c r="T1302" s="441"/>
    </row>
    <row r="1303" spans="3:22" ht="13" thickBot="1">
      <c r="D1303" s="63"/>
      <c r="E1303" s="9" t="s">
        <v>611</v>
      </c>
      <c r="K1303" s="80">
        <v>0</v>
      </c>
      <c r="N1303" s="432">
        <f>N1297*$K1303</f>
        <v>0</v>
      </c>
      <c r="O1303" s="432"/>
      <c r="P1303" s="432"/>
      <c r="Q1303" s="432"/>
      <c r="R1303" s="432"/>
      <c r="S1303" s="432"/>
      <c r="T1303" s="441"/>
    </row>
    <row r="1304" spans="3:22" ht="13.5" thickBot="1">
      <c r="D1304" s="68"/>
      <c r="E1304" s="69" t="s">
        <v>607</v>
      </c>
      <c r="F1304" s="69"/>
      <c r="G1304" s="69"/>
      <c r="H1304" s="69"/>
      <c r="I1304" s="69"/>
      <c r="J1304" s="69"/>
      <c r="K1304" s="69"/>
      <c r="L1304" s="69"/>
      <c r="M1304" s="69"/>
      <c r="N1304" s="435" t="e">
        <f>SUM(N1298:O1303)</f>
        <v>#REF!</v>
      </c>
      <c r="O1304" s="435"/>
      <c r="P1304" s="81"/>
      <c r="Q1304" s="81"/>
      <c r="R1304" s="81"/>
      <c r="S1304" s="81"/>
      <c r="T1304" s="70"/>
    </row>
    <row r="1305" spans="3:22">
      <c r="D1305" s="63"/>
      <c r="E1305" s="9" t="s">
        <v>612</v>
      </c>
      <c r="K1305" s="72" t="e">
        <f>DESIGN_CONT.</f>
        <v>#REF!</v>
      </c>
      <c r="N1305" s="439" t="e">
        <f>N1304*$K1305</f>
        <v>#REF!</v>
      </c>
      <c r="O1305" s="439"/>
      <c r="P1305" s="439"/>
      <c r="Q1305" s="439"/>
      <c r="R1305" s="439"/>
      <c r="S1305" s="439"/>
      <c r="T1305" s="440"/>
    </row>
    <row r="1306" spans="3:22" ht="13" thickBot="1">
      <c r="D1306" s="63"/>
      <c r="E1306" s="9" t="s">
        <v>613</v>
      </c>
      <c r="K1306" s="72" t="e">
        <f>CONTINGENCY</f>
        <v>#REF!</v>
      </c>
      <c r="N1306" s="442" t="e">
        <f>N1304*$K1306</f>
        <v>#REF!</v>
      </c>
      <c r="O1306" s="442"/>
      <c r="P1306" s="442"/>
      <c r="Q1306" s="442"/>
      <c r="R1306" s="442"/>
      <c r="S1306" s="442"/>
      <c r="T1306" s="443"/>
    </row>
    <row r="1307" spans="3:22" ht="13.5" thickBot="1">
      <c r="C1307" s="1">
        <v>42</v>
      </c>
      <c r="D1307" s="68"/>
      <c r="E1307" s="69" t="s">
        <v>607</v>
      </c>
      <c r="F1307" s="69"/>
      <c r="G1307" s="69"/>
      <c r="H1307" s="69"/>
      <c r="I1307" s="69"/>
      <c r="J1307" s="69"/>
      <c r="K1307" s="69"/>
      <c r="L1307" s="69"/>
      <c r="M1307" s="69"/>
      <c r="N1307" s="435" t="e">
        <f>SUM(N1304:O1306)</f>
        <v>#REF!</v>
      </c>
      <c r="O1307" s="435"/>
      <c r="P1307" s="81"/>
      <c r="Q1307" s="81"/>
      <c r="R1307" s="81"/>
      <c r="S1307" s="81"/>
      <c r="T1307" s="70"/>
      <c r="V1307" s="76" t="s">
        <v>614</v>
      </c>
    </row>
    <row r="1308" spans="3:22" ht="13" thickBot="1">
      <c r="D1308" s="63"/>
      <c r="E1308" s="9" t="s">
        <v>615</v>
      </c>
      <c r="K1308" s="72" t="e">
        <f>FEE</f>
        <v>#REF!</v>
      </c>
      <c r="N1308" s="436" t="e">
        <f>N1307*$K1308</f>
        <v>#REF!</v>
      </c>
      <c r="O1308" s="436"/>
      <c r="P1308" s="436"/>
      <c r="Q1308" s="436"/>
      <c r="R1308" s="436"/>
      <c r="S1308" s="436"/>
      <c r="T1308" s="437"/>
    </row>
    <row r="1309" spans="3:22" ht="13.5" thickBot="1">
      <c r="D1309" s="68"/>
      <c r="E1309" s="69" t="s">
        <v>607</v>
      </c>
      <c r="F1309" s="69"/>
      <c r="G1309" s="69"/>
      <c r="H1309" s="69"/>
      <c r="I1309" s="69"/>
      <c r="J1309" s="69"/>
      <c r="K1309" s="69"/>
      <c r="L1309" s="69"/>
      <c r="M1309" s="69"/>
      <c r="N1309" s="435" t="e">
        <f>SUM(N1307:O1308)</f>
        <v>#REF!</v>
      </c>
      <c r="O1309" s="435"/>
      <c r="P1309" s="81"/>
      <c r="Q1309" s="81"/>
      <c r="R1309" s="81"/>
      <c r="S1309" s="81"/>
      <c r="T1309" s="70"/>
    </row>
    <row r="1310" spans="3:22" ht="13" thickBot="1">
      <c r="D1310" s="63"/>
      <c r="E1310" s="9" t="s">
        <v>616</v>
      </c>
      <c r="K1310" s="72">
        <v>0</v>
      </c>
      <c r="N1310" s="436" t="e">
        <f>N1309*$K1310</f>
        <v>#REF!</v>
      </c>
      <c r="O1310" s="436"/>
      <c r="P1310" s="436"/>
      <c r="Q1310" s="436"/>
      <c r="R1310" s="436"/>
      <c r="S1310" s="436"/>
      <c r="T1310" s="437"/>
    </row>
    <row r="1311" spans="3:22" ht="13.5" thickBot="1">
      <c r="D1311" s="73"/>
      <c r="E1311" s="74" t="s">
        <v>18</v>
      </c>
      <c r="F1311" s="74"/>
      <c r="G1311" s="74"/>
      <c r="H1311" s="74"/>
      <c r="I1311" s="74"/>
      <c r="J1311" s="74"/>
      <c r="K1311" s="74"/>
      <c r="L1311" s="74"/>
      <c r="M1311" s="74"/>
      <c r="N1311" s="438" t="e">
        <f>SUM(N1309:O1310)</f>
        <v>#REF!</v>
      </c>
      <c r="O1311" s="438"/>
      <c r="P1311" s="82"/>
      <c r="Q1311" s="82"/>
      <c r="R1311" s="82"/>
      <c r="S1311" s="82"/>
      <c r="T1311" s="75"/>
      <c r="U1311" s="398"/>
    </row>
    <row r="1312" spans="3:22" ht="13" thickTop="1"/>
  </sheetData>
  <customSheetViews>
    <customSheetView guid="{F958FDE5-3918-4251-92E7-5EF1610ECABB}" topLeftCell="A7">
      <selection activeCell="A454" sqref="A454:XFD455"/>
      <pageMargins left="0" right="0" top="0" bottom="0" header="0" footer="0"/>
    </customSheetView>
    <customSheetView guid="{8857A4CB-FCBB-4E96-8BF1-4560F6DCA1CB}" topLeftCell="A463">
      <selection activeCell="A458" sqref="A458:XFD458"/>
      <pageMargins left="0" right="0" top="0" bottom="0" header="0" footer="0"/>
    </customSheetView>
  </customSheetViews>
  <mergeCells count="1962">
    <mergeCell ref="N1273:O1273"/>
    <mergeCell ref="P1273:T1273"/>
    <mergeCell ref="N1274:O1274"/>
    <mergeCell ref="N975:O975"/>
    <mergeCell ref="P975:T975"/>
    <mergeCell ref="N976:O976"/>
    <mergeCell ref="P976:T976"/>
    <mergeCell ref="N1035:O1035"/>
    <mergeCell ref="P1035:T1035"/>
    <mergeCell ref="N1036:O1036"/>
    <mergeCell ref="P1036:T1036"/>
    <mergeCell ref="N1040:O1040"/>
    <mergeCell ref="P1040:T1040"/>
    <mergeCell ref="N1041:O1041"/>
    <mergeCell ref="P1041:T1041"/>
    <mergeCell ref="N1045:O1045"/>
    <mergeCell ref="P1045:T1045"/>
    <mergeCell ref="N1043:O1043"/>
    <mergeCell ref="P1043:T1043"/>
    <mergeCell ref="N1270:O1270"/>
    <mergeCell ref="N1271:O1271"/>
    <mergeCell ref="P1271:T1271"/>
    <mergeCell ref="N1044:O1044"/>
    <mergeCell ref="P1044:T1044"/>
    <mergeCell ref="N1037:O1037"/>
    <mergeCell ref="P1037:T1037"/>
    <mergeCell ref="P1262:T1262"/>
    <mergeCell ref="N1265:O1265"/>
    <mergeCell ref="P1265:T1265"/>
    <mergeCell ref="N1230:O1230"/>
    <mergeCell ref="N1231:O1231"/>
    <mergeCell ref="P1231:T1231"/>
    <mergeCell ref="N1232:O1232"/>
    <mergeCell ref="P1232:T1232"/>
    <mergeCell ref="N1233:O1233"/>
    <mergeCell ref="N1234:O1234"/>
    <mergeCell ref="P1234:T1234"/>
    <mergeCell ref="N1235:O1235"/>
    <mergeCell ref="N1236:O1236"/>
    <mergeCell ref="P1236:T1236"/>
    <mergeCell ref="N1237:O1237"/>
    <mergeCell ref="N1261:O1261"/>
    <mergeCell ref="N1262:O1262"/>
    <mergeCell ref="P1251:T1251"/>
    <mergeCell ref="P1243:T1243"/>
    <mergeCell ref="N1248:O1248"/>
    <mergeCell ref="P1248:T1248"/>
    <mergeCell ref="N1246:O1246"/>
    <mergeCell ref="N1228:O1228"/>
    <mergeCell ref="P1228:T1228"/>
    <mergeCell ref="N1229:O1229"/>
    <mergeCell ref="P1229:T1229"/>
    <mergeCell ref="N1266:O1266"/>
    <mergeCell ref="P1266:T1266"/>
    <mergeCell ref="N1267:O1267"/>
    <mergeCell ref="N1268:O1268"/>
    <mergeCell ref="P1268:T1268"/>
    <mergeCell ref="N1269:O1269"/>
    <mergeCell ref="P1269:T1269"/>
    <mergeCell ref="N1242:O1242"/>
    <mergeCell ref="P1242:T1242"/>
    <mergeCell ref="N1243:O1243"/>
    <mergeCell ref="N1244:O1244"/>
    <mergeCell ref="P1244:T1244"/>
    <mergeCell ref="N1245:O1245"/>
    <mergeCell ref="P1245:T1245"/>
    <mergeCell ref="P1246:T1246"/>
    <mergeCell ref="N1247:O1247"/>
    <mergeCell ref="P1252:T1252"/>
    <mergeCell ref="P1247:T1247"/>
    <mergeCell ref="P1254:T1254"/>
    <mergeCell ref="N1252:O1252"/>
    <mergeCell ref="N1251:O1251"/>
    <mergeCell ref="N1253:O1253"/>
    <mergeCell ref="P1253:T1253"/>
    <mergeCell ref="N1254:O1254"/>
    <mergeCell ref="N1263:O1263"/>
    <mergeCell ref="P1263:T1263"/>
    <mergeCell ref="N1264:O1264"/>
    <mergeCell ref="P1264:T1264"/>
    <mergeCell ref="P1207:T1207"/>
    <mergeCell ref="N1208:O1208"/>
    <mergeCell ref="N1213:O1213"/>
    <mergeCell ref="P1213:T1213"/>
    <mergeCell ref="N1214:O1214"/>
    <mergeCell ref="P1214:T1214"/>
    <mergeCell ref="N1215:O1215"/>
    <mergeCell ref="P1215:T1215"/>
    <mergeCell ref="N1216:O1216"/>
    <mergeCell ref="P1216:T1216"/>
    <mergeCell ref="N1217:O1217"/>
    <mergeCell ref="P1217:T1217"/>
    <mergeCell ref="N1218:O1218"/>
    <mergeCell ref="P1218:T1218"/>
    <mergeCell ref="N1219:O1219"/>
    <mergeCell ref="P1219:T1219"/>
    <mergeCell ref="N1272:O1272"/>
    <mergeCell ref="N1249:O1249"/>
    <mergeCell ref="P1249:T1249"/>
    <mergeCell ref="N1250:O1250"/>
    <mergeCell ref="P1250:T1250"/>
    <mergeCell ref="N1255:O1255"/>
    <mergeCell ref="P1255:T1255"/>
    <mergeCell ref="N1256:O1256"/>
    <mergeCell ref="P1256:T1256"/>
    <mergeCell ref="N1257:O1257"/>
    <mergeCell ref="P1257:T1257"/>
    <mergeCell ref="N1258:O1258"/>
    <mergeCell ref="P1258:T1258"/>
    <mergeCell ref="N1259:O1259"/>
    <mergeCell ref="N1260:O1260"/>
    <mergeCell ref="P1260:T1260"/>
    <mergeCell ref="N1220:O1220"/>
    <mergeCell ref="P1220:T1220"/>
    <mergeCell ref="N1221:O1221"/>
    <mergeCell ref="P1221:T1221"/>
    <mergeCell ref="N1222:O1222"/>
    <mergeCell ref="N1223:O1223"/>
    <mergeCell ref="P1223:T1223"/>
    <mergeCell ref="N1224:O1224"/>
    <mergeCell ref="N1225:O1225"/>
    <mergeCell ref="P1225:T1225"/>
    <mergeCell ref="N1226:O1226"/>
    <mergeCell ref="P1226:T1226"/>
    <mergeCell ref="N1227:O1227"/>
    <mergeCell ref="P1227:T1227"/>
    <mergeCell ref="N1197:O1197"/>
    <mergeCell ref="P1197:T1197"/>
    <mergeCell ref="N1198:O1198"/>
    <mergeCell ref="P1198:T1198"/>
    <mergeCell ref="N1199:O1199"/>
    <mergeCell ref="P1199:T1199"/>
    <mergeCell ref="N1200:O1200"/>
    <mergeCell ref="P1200:T1200"/>
    <mergeCell ref="N1201:O1201"/>
    <mergeCell ref="N1202:O1202"/>
    <mergeCell ref="P1202:T1202"/>
    <mergeCell ref="N1203:O1203"/>
    <mergeCell ref="P1203:T1203"/>
    <mergeCell ref="N1204:O1204"/>
    <mergeCell ref="N1205:O1205"/>
    <mergeCell ref="P1205:T1205"/>
    <mergeCell ref="N1206:O1206"/>
    <mergeCell ref="N1207:O1207"/>
    <mergeCell ref="N1187:O1187"/>
    <mergeCell ref="P1187:T1187"/>
    <mergeCell ref="N1188:O1188"/>
    <mergeCell ref="P1188:T1188"/>
    <mergeCell ref="N1189:O1189"/>
    <mergeCell ref="P1189:T1189"/>
    <mergeCell ref="N1190:O1190"/>
    <mergeCell ref="P1190:T1190"/>
    <mergeCell ref="N1191:O1191"/>
    <mergeCell ref="P1191:T1191"/>
    <mergeCell ref="N1192:O1192"/>
    <mergeCell ref="P1192:T1192"/>
    <mergeCell ref="N1193:O1193"/>
    <mergeCell ref="N1194:O1194"/>
    <mergeCell ref="P1194:T1194"/>
    <mergeCell ref="N1195:O1195"/>
    <mergeCell ref="N1196:O1196"/>
    <mergeCell ref="P1196:T1196"/>
    <mergeCell ref="N1172:O1172"/>
    <mergeCell ref="N1173:O1173"/>
    <mergeCell ref="P1173:T1173"/>
    <mergeCell ref="N1174:O1174"/>
    <mergeCell ref="P1174:T1174"/>
    <mergeCell ref="N1175:O1175"/>
    <mergeCell ref="N1176:O1176"/>
    <mergeCell ref="P1176:T1176"/>
    <mergeCell ref="N1177:O1177"/>
    <mergeCell ref="N1178:O1178"/>
    <mergeCell ref="P1178:T1178"/>
    <mergeCell ref="N1179:O1179"/>
    <mergeCell ref="N1184:O1184"/>
    <mergeCell ref="P1184:T1184"/>
    <mergeCell ref="N1185:O1185"/>
    <mergeCell ref="P1185:T1185"/>
    <mergeCell ref="N1186:O1186"/>
    <mergeCell ref="P1186:T1186"/>
    <mergeCell ref="N1162:O1162"/>
    <mergeCell ref="P1162:T1162"/>
    <mergeCell ref="N1163:O1163"/>
    <mergeCell ref="P1163:T1163"/>
    <mergeCell ref="N1164:O1164"/>
    <mergeCell ref="N1165:O1165"/>
    <mergeCell ref="P1165:T1165"/>
    <mergeCell ref="N1166:O1166"/>
    <mergeCell ref="N1167:O1167"/>
    <mergeCell ref="P1167:T1167"/>
    <mergeCell ref="N1168:O1168"/>
    <mergeCell ref="P1168:T1168"/>
    <mergeCell ref="N1169:O1169"/>
    <mergeCell ref="P1169:T1169"/>
    <mergeCell ref="N1170:O1170"/>
    <mergeCell ref="P1170:T1170"/>
    <mergeCell ref="N1171:O1171"/>
    <mergeCell ref="P1171:T1171"/>
    <mergeCell ref="N1149:O1149"/>
    <mergeCell ref="P1149:T1149"/>
    <mergeCell ref="N1150:O1150"/>
    <mergeCell ref="N1155:O1155"/>
    <mergeCell ref="P1155:T1155"/>
    <mergeCell ref="N1156:O1156"/>
    <mergeCell ref="P1156:T1156"/>
    <mergeCell ref="N1157:O1157"/>
    <mergeCell ref="P1157:T1157"/>
    <mergeCell ref="N1158:O1158"/>
    <mergeCell ref="P1158:T1158"/>
    <mergeCell ref="N1159:O1159"/>
    <mergeCell ref="P1159:T1159"/>
    <mergeCell ref="N1160:O1160"/>
    <mergeCell ref="P1160:T1160"/>
    <mergeCell ref="N1161:O1161"/>
    <mergeCell ref="P1161:T1161"/>
    <mergeCell ref="N1139:O1139"/>
    <mergeCell ref="P1139:T1139"/>
    <mergeCell ref="N1140:O1140"/>
    <mergeCell ref="P1140:T1140"/>
    <mergeCell ref="N1141:O1141"/>
    <mergeCell ref="P1141:T1141"/>
    <mergeCell ref="N1142:O1142"/>
    <mergeCell ref="P1142:T1142"/>
    <mergeCell ref="N1143:O1143"/>
    <mergeCell ref="N1144:O1144"/>
    <mergeCell ref="P1144:T1144"/>
    <mergeCell ref="N1145:O1145"/>
    <mergeCell ref="P1145:T1145"/>
    <mergeCell ref="N1146:O1146"/>
    <mergeCell ref="N1147:O1147"/>
    <mergeCell ref="P1147:T1147"/>
    <mergeCell ref="N1148:O1148"/>
    <mergeCell ref="N1129:O1129"/>
    <mergeCell ref="P1129:T1129"/>
    <mergeCell ref="N1130:O1130"/>
    <mergeCell ref="P1130:T1130"/>
    <mergeCell ref="N1131:O1131"/>
    <mergeCell ref="P1131:T1131"/>
    <mergeCell ref="N1132:O1132"/>
    <mergeCell ref="P1132:T1132"/>
    <mergeCell ref="N1133:O1133"/>
    <mergeCell ref="P1133:T1133"/>
    <mergeCell ref="N1134:O1134"/>
    <mergeCell ref="P1134:T1134"/>
    <mergeCell ref="N1135:O1135"/>
    <mergeCell ref="N1136:O1136"/>
    <mergeCell ref="P1136:T1136"/>
    <mergeCell ref="N1137:O1137"/>
    <mergeCell ref="N1138:O1138"/>
    <mergeCell ref="P1138:T1138"/>
    <mergeCell ref="N1114:O1114"/>
    <mergeCell ref="N1115:O1115"/>
    <mergeCell ref="P1115:T1115"/>
    <mergeCell ref="N1116:O1116"/>
    <mergeCell ref="P1116:T1116"/>
    <mergeCell ref="N1117:O1117"/>
    <mergeCell ref="N1118:O1118"/>
    <mergeCell ref="P1118:T1118"/>
    <mergeCell ref="N1119:O1119"/>
    <mergeCell ref="N1120:O1120"/>
    <mergeCell ref="P1120:T1120"/>
    <mergeCell ref="N1121:O1121"/>
    <mergeCell ref="N1126:O1126"/>
    <mergeCell ref="P1126:T1126"/>
    <mergeCell ref="N1127:O1127"/>
    <mergeCell ref="P1127:T1127"/>
    <mergeCell ref="N1128:O1128"/>
    <mergeCell ref="P1128:T1128"/>
    <mergeCell ref="N1104:O1104"/>
    <mergeCell ref="P1104:T1104"/>
    <mergeCell ref="N1105:O1105"/>
    <mergeCell ref="P1105:T1105"/>
    <mergeCell ref="N1106:O1106"/>
    <mergeCell ref="N1107:O1107"/>
    <mergeCell ref="P1107:T1107"/>
    <mergeCell ref="N1108:O1108"/>
    <mergeCell ref="N1109:O1109"/>
    <mergeCell ref="P1109:T1109"/>
    <mergeCell ref="N1110:O1110"/>
    <mergeCell ref="P1110:T1110"/>
    <mergeCell ref="N1111:O1111"/>
    <mergeCell ref="P1111:T1111"/>
    <mergeCell ref="N1112:O1112"/>
    <mergeCell ref="P1112:T1112"/>
    <mergeCell ref="N1113:O1113"/>
    <mergeCell ref="P1113:T1113"/>
    <mergeCell ref="N1091:O1091"/>
    <mergeCell ref="P1091:T1091"/>
    <mergeCell ref="N1092:O1092"/>
    <mergeCell ref="N1097:O1097"/>
    <mergeCell ref="P1097:T1097"/>
    <mergeCell ref="N1098:O1098"/>
    <mergeCell ref="P1098:T1098"/>
    <mergeCell ref="N1099:O1099"/>
    <mergeCell ref="P1099:T1099"/>
    <mergeCell ref="N1100:O1100"/>
    <mergeCell ref="P1100:T1100"/>
    <mergeCell ref="N1101:O1101"/>
    <mergeCell ref="P1101:T1101"/>
    <mergeCell ref="N1102:O1102"/>
    <mergeCell ref="P1102:T1102"/>
    <mergeCell ref="N1103:O1103"/>
    <mergeCell ref="P1103:T1103"/>
    <mergeCell ref="N1081:O1081"/>
    <mergeCell ref="P1081:T1081"/>
    <mergeCell ref="N1082:O1082"/>
    <mergeCell ref="P1082:T1082"/>
    <mergeCell ref="N1083:O1083"/>
    <mergeCell ref="P1083:T1083"/>
    <mergeCell ref="N1084:O1084"/>
    <mergeCell ref="P1084:T1084"/>
    <mergeCell ref="N1085:O1085"/>
    <mergeCell ref="N1086:O1086"/>
    <mergeCell ref="P1086:T1086"/>
    <mergeCell ref="N1087:O1087"/>
    <mergeCell ref="P1087:T1087"/>
    <mergeCell ref="N1088:O1088"/>
    <mergeCell ref="N1089:O1089"/>
    <mergeCell ref="P1089:T1089"/>
    <mergeCell ref="N1090:O1090"/>
    <mergeCell ref="N1071:O1071"/>
    <mergeCell ref="P1071:T1071"/>
    <mergeCell ref="N1072:O1072"/>
    <mergeCell ref="P1072:T1072"/>
    <mergeCell ref="N1073:O1073"/>
    <mergeCell ref="P1073:T1073"/>
    <mergeCell ref="N1074:O1074"/>
    <mergeCell ref="P1074:T1074"/>
    <mergeCell ref="N1075:O1075"/>
    <mergeCell ref="P1075:T1075"/>
    <mergeCell ref="N1076:O1076"/>
    <mergeCell ref="P1076:T1076"/>
    <mergeCell ref="N1077:O1077"/>
    <mergeCell ref="N1078:O1078"/>
    <mergeCell ref="P1078:T1078"/>
    <mergeCell ref="N1079:O1079"/>
    <mergeCell ref="N1080:O1080"/>
    <mergeCell ref="P1080:T1080"/>
    <mergeCell ref="N1056:O1056"/>
    <mergeCell ref="N1057:O1057"/>
    <mergeCell ref="P1057:T1057"/>
    <mergeCell ref="N1058:O1058"/>
    <mergeCell ref="P1058:T1058"/>
    <mergeCell ref="N1059:O1059"/>
    <mergeCell ref="N1060:O1060"/>
    <mergeCell ref="P1060:T1060"/>
    <mergeCell ref="N1061:O1061"/>
    <mergeCell ref="N1062:O1062"/>
    <mergeCell ref="P1062:T1062"/>
    <mergeCell ref="N1063:O1063"/>
    <mergeCell ref="N1068:O1068"/>
    <mergeCell ref="P1068:T1068"/>
    <mergeCell ref="N1069:O1069"/>
    <mergeCell ref="P1069:T1069"/>
    <mergeCell ref="N1070:O1070"/>
    <mergeCell ref="P1070:T1070"/>
    <mergeCell ref="N1046:O1046"/>
    <mergeCell ref="P1046:T1046"/>
    <mergeCell ref="N1047:O1047"/>
    <mergeCell ref="P1047:T1047"/>
    <mergeCell ref="N1048:O1048"/>
    <mergeCell ref="N1049:O1049"/>
    <mergeCell ref="P1049:T1049"/>
    <mergeCell ref="N1050:O1050"/>
    <mergeCell ref="N1051:O1051"/>
    <mergeCell ref="P1051:T1051"/>
    <mergeCell ref="N1052:O1052"/>
    <mergeCell ref="P1052:T1052"/>
    <mergeCell ref="N1053:O1053"/>
    <mergeCell ref="P1053:T1053"/>
    <mergeCell ref="N1054:O1054"/>
    <mergeCell ref="P1054:T1054"/>
    <mergeCell ref="N1055:O1055"/>
    <mergeCell ref="P1055:T1055"/>
    <mergeCell ref="N1025:O1025"/>
    <mergeCell ref="P1025:T1025"/>
    <mergeCell ref="N1026:O1026"/>
    <mergeCell ref="N1031:O1031"/>
    <mergeCell ref="P1031:T1031"/>
    <mergeCell ref="N1032:O1032"/>
    <mergeCell ref="P1032:T1032"/>
    <mergeCell ref="N1033:O1033"/>
    <mergeCell ref="P1033:T1033"/>
    <mergeCell ref="N1034:O1034"/>
    <mergeCell ref="P1034:T1034"/>
    <mergeCell ref="N1038:O1038"/>
    <mergeCell ref="P1038:T1038"/>
    <mergeCell ref="N1039:O1039"/>
    <mergeCell ref="P1039:T1039"/>
    <mergeCell ref="N1042:O1042"/>
    <mergeCell ref="P1042:T1042"/>
    <mergeCell ref="N1015:O1015"/>
    <mergeCell ref="P1015:T1015"/>
    <mergeCell ref="N1016:O1016"/>
    <mergeCell ref="P1016:T1016"/>
    <mergeCell ref="N1017:O1017"/>
    <mergeCell ref="P1017:T1017"/>
    <mergeCell ref="N1018:O1018"/>
    <mergeCell ref="P1018:T1018"/>
    <mergeCell ref="N1019:O1019"/>
    <mergeCell ref="N1020:O1020"/>
    <mergeCell ref="P1020:T1020"/>
    <mergeCell ref="N1021:O1021"/>
    <mergeCell ref="P1021:T1021"/>
    <mergeCell ref="N1022:O1022"/>
    <mergeCell ref="N1023:O1023"/>
    <mergeCell ref="P1023:T1023"/>
    <mergeCell ref="N1024:O1024"/>
    <mergeCell ref="N1005:O1005"/>
    <mergeCell ref="P1005:T1005"/>
    <mergeCell ref="N1006:O1006"/>
    <mergeCell ref="P1006:T1006"/>
    <mergeCell ref="N1007:O1007"/>
    <mergeCell ref="P1007:T1007"/>
    <mergeCell ref="N1008:O1008"/>
    <mergeCell ref="P1008:T1008"/>
    <mergeCell ref="N1009:O1009"/>
    <mergeCell ref="P1009:T1009"/>
    <mergeCell ref="N1010:O1010"/>
    <mergeCell ref="P1010:T1010"/>
    <mergeCell ref="N1011:O1011"/>
    <mergeCell ref="N1012:O1012"/>
    <mergeCell ref="P1012:T1012"/>
    <mergeCell ref="N1013:O1013"/>
    <mergeCell ref="N1014:O1014"/>
    <mergeCell ref="P1014:T1014"/>
    <mergeCell ref="N991:O991"/>
    <mergeCell ref="P991:T991"/>
    <mergeCell ref="N992:O992"/>
    <mergeCell ref="P992:T992"/>
    <mergeCell ref="N993:O993"/>
    <mergeCell ref="N994:O994"/>
    <mergeCell ref="P994:T994"/>
    <mergeCell ref="N995:O995"/>
    <mergeCell ref="N996:O996"/>
    <mergeCell ref="P996:T996"/>
    <mergeCell ref="N997:O997"/>
    <mergeCell ref="N1002:O1002"/>
    <mergeCell ref="P1002:T1002"/>
    <mergeCell ref="N1003:O1003"/>
    <mergeCell ref="P1003:T1003"/>
    <mergeCell ref="N1004:O1004"/>
    <mergeCell ref="P1004:T1004"/>
    <mergeCell ref="N981:O981"/>
    <mergeCell ref="P981:T981"/>
    <mergeCell ref="N982:O982"/>
    <mergeCell ref="N983:O983"/>
    <mergeCell ref="P983:T983"/>
    <mergeCell ref="N984:O984"/>
    <mergeCell ref="N985:O985"/>
    <mergeCell ref="P985:T985"/>
    <mergeCell ref="N986:O986"/>
    <mergeCell ref="P986:T986"/>
    <mergeCell ref="N987:O987"/>
    <mergeCell ref="P987:T987"/>
    <mergeCell ref="N988:O988"/>
    <mergeCell ref="P988:T988"/>
    <mergeCell ref="N989:O989"/>
    <mergeCell ref="P989:T989"/>
    <mergeCell ref="N990:O990"/>
    <mergeCell ref="N967:O967"/>
    <mergeCell ref="N972:O972"/>
    <mergeCell ref="P972:T972"/>
    <mergeCell ref="N973:O973"/>
    <mergeCell ref="P973:T973"/>
    <mergeCell ref="N974:O974"/>
    <mergeCell ref="P974:T974"/>
    <mergeCell ref="N977:O977"/>
    <mergeCell ref="P977:T977"/>
    <mergeCell ref="N978:O978"/>
    <mergeCell ref="P978:T978"/>
    <mergeCell ref="N979:O979"/>
    <mergeCell ref="P979:T979"/>
    <mergeCell ref="N980:O980"/>
    <mergeCell ref="P980:T980"/>
    <mergeCell ref="N957:O957"/>
    <mergeCell ref="P957:T957"/>
    <mergeCell ref="N958:O958"/>
    <mergeCell ref="P958:T958"/>
    <mergeCell ref="N959:O959"/>
    <mergeCell ref="P959:T959"/>
    <mergeCell ref="N960:O960"/>
    <mergeCell ref="N961:O961"/>
    <mergeCell ref="P961:T961"/>
    <mergeCell ref="N962:O962"/>
    <mergeCell ref="P962:T962"/>
    <mergeCell ref="N963:O963"/>
    <mergeCell ref="N964:O964"/>
    <mergeCell ref="P964:T964"/>
    <mergeCell ref="N965:O965"/>
    <mergeCell ref="N966:O966"/>
    <mergeCell ref="P966:T966"/>
    <mergeCell ref="N943:O943"/>
    <mergeCell ref="P943:T943"/>
    <mergeCell ref="N944:O944"/>
    <mergeCell ref="P944:T944"/>
    <mergeCell ref="N945:O945"/>
    <mergeCell ref="P945:T945"/>
    <mergeCell ref="N947:O947"/>
    <mergeCell ref="P947:T947"/>
    <mergeCell ref="N951:O951"/>
    <mergeCell ref="P951:T951"/>
    <mergeCell ref="N952:O952"/>
    <mergeCell ref="N953:O953"/>
    <mergeCell ref="P953:T953"/>
    <mergeCell ref="N954:O954"/>
    <mergeCell ref="N955:O955"/>
    <mergeCell ref="P955:T955"/>
    <mergeCell ref="N956:O956"/>
    <mergeCell ref="P956:T956"/>
    <mergeCell ref="N948:O948"/>
    <mergeCell ref="P948:T948"/>
    <mergeCell ref="N949:O949"/>
    <mergeCell ref="P949:T949"/>
    <mergeCell ref="N950:O950"/>
    <mergeCell ref="P950:T950"/>
    <mergeCell ref="N946:O946"/>
    <mergeCell ref="P946:T946"/>
    <mergeCell ref="N929:O929"/>
    <mergeCell ref="P929:T929"/>
    <mergeCell ref="N930:O930"/>
    <mergeCell ref="N931:O931"/>
    <mergeCell ref="P931:T931"/>
    <mergeCell ref="N932:O932"/>
    <mergeCell ref="N933:O933"/>
    <mergeCell ref="P933:T933"/>
    <mergeCell ref="N934:O934"/>
    <mergeCell ref="N939:O939"/>
    <mergeCell ref="P939:T939"/>
    <mergeCell ref="N940:O940"/>
    <mergeCell ref="P940:T940"/>
    <mergeCell ref="N941:O941"/>
    <mergeCell ref="P941:T941"/>
    <mergeCell ref="N942:O942"/>
    <mergeCell ref="P942:T942"/>
    <mergeCell ref="N919:O919"/>
    <mergeCell ref="N920:O920"/>
    <mergeCell ref="P920:T920"/>
    <mergeCell ref="N921:O921"/>
    <mergeCell ref="N922:O922"/>
    <mergeCell ref="P922:T922"/>
    <mergeCell ref="N923:O923"/>
    <mergeCell ref="P923:T923"/>
    <mergeCell ref="N924:O924"/>
    <mergeCell ref="P924:T924"/>
    <mergeCell ref="N925:O925"/>
    <mergeCell ref="P925:T925"/>
    <mergeCell ref="N926:O926"/>
    <mergeCell ref="P926:T926"/>
    <mergeCell ref="N927:O927"/>
    <mergeCell ref="N928:O928"/>
    <mergeCell ref="P928:T928"/>
    <mergeCell ref="N910:O910"/>
    <mergeCell ref="P910:T910"/>
    <mergeCell ref="N911:O911"/>
    <mergeCell ref="P911:T911"/>
    <mergeCell ref="N912:O912"/>
    <mergeCell ref="P912:T912"/>
    <mergeCell ref="N913:O913"/>
    <mergeCell ref="P913:T913"/>
    <mergeCell ref="N914:O914"/>
    <mergeCell ref="P914:T914"/>
    <mergeCell ref="N915:O915"/>
    <mergeCell ref="P915:T915"/>
    <mergeCell ref="N916:O916"/>
    <mergeCell ref="P916:T916"/>
    <mergeCell ref="N917:O917"/>
    <mergeCell ref="P917:T917"/>
    <mergeCell ref="N918:O918"/>
    <mergeCell ref="P918:T918"/>
    <mergeCell ref="N900:O900"/>
    <mergeCell ref="P900:T900"/>
    <mergeCell ref="N901:O901"/>
    <mergeCell ref="N902:O902"/>
    <mergeCell ref="P902:T902"/>
    <mergeCell ref="N903:O903"/>
    <mergeCell ref="N904:O904"/>
    <mergeCell ref="P904:T904"/>
    <mergeCell ref="N905:O905"/>
    <mergeCell ref="N895:O895"/>
    <mergeCell ref="P895:T895"/>
    <mergeCell ref="N896:O896"/>
    <mergeCell ref="P896:T896"/>
    <mergeCell ref="N897:O897"/>
    <mergeCell ref="P897:T897"/>
    <mergeCell ref="N898:O898"/>
    <mergeCell ref="N899:O899"/>
    <mergeCell ref="P899:T899"/>
    <mergeCell ref="N889:O889"/>
    <mergeCell ref="P889:T889"/>
    <mergeCell ref="N890:O890"/>
    <mergeCell ref="N891:O891"/>
    <mergeCell ref="P891:T891"/>
    <mergeCell ref="N892:O892"/>
    <mergeCell ref="N893:O893"/>
    <mergeCell ref="P893:T893"/>
    <mergeCell ref="N894:O894"/>
    <mergeCell ref="P894:T894"/>
    <mergeCell ref="N884:O884"/>
    <mergeCell ref="P884:T884"/>
    <mergeCell ref="N885:O885"/>
    <mergeCell ref="P885:T885"/>
    <mergeCell ref="N886:O886"/>
    <mergeCell ref="P886:T886"/>
    <mergeCell ref="N887:O887"/>
    <mergeCell ref="P887:T887"/>
    <mergeCell ref="N888:O888"/>
    <mergeCell ref="P888:T888"/>
    <mergeCell ref="N874:O874"/>
    <mergeCell ref="N875:O875"/>
    <mergeCell ref="P875:T875"/>
    <mergeCell ref="N876:O876"/>
    <mergeCell ref="N881:O881"/>
    <mergeCell ref="P881:T881"/>
    <mergeCell ref="N882:O882"/>
    <mergeCell ref="P882:T882"/>
    <mergeCell ref="N883:O883"/>
    <mergeCell ref="P883:T883"/>
    <mergeCell ref="N868:O868"/>
    <mergeCell ref="P868:T868"/>
    <mergeCell ref="N869:O869"/>
    <mergeCell ref="N870:O870"/>
    <mergeCell ref="P870:T870"/>
    <mergeCell ref="N871:O871"/>
    <mergeCell ref="P871:T871"/>
    <mergeCell ref="N872:O872"/>
    <mergeCell ref="N873:O873"/>
    <mergeCell ref="P873:T873"/>
    <mergeCell ref="N863:O863"/>
    <mergeCell ref="N864:O864"/>
    <mergeCell ref="P864:T864"/>
    <mergeCell ref="N865:O865"/>
    <mergeCell ref="P865:T865"/>
    <mergeCell ref="N866:O866"/>
    <mergeCell ref="P866:T866"/>
    <mergeCell ref="N867:O867"/>
    <mergeCell ref="P867:T867"/>
    <mergeCell ref="N858:O858"/>
    <mergeCell ref="P858:T858"/>
    <mergeCell ref="N859:O859"/>
    <mergeCell ref="P859:T859"/>
    <mergeCell ref="N860:O860"/>
    <mergeCell ref="P860:T860"/>
    <mergeCell ref="N861:O861"/>
    <mergeCell ref="N862:O862"/>
    <mergeCell ref="P862:T862"/>
    <mergeCell ref="N853:O853"/>
    <mergeCell ref="P853:T853"/>
    <mergeCell ref="N854:O854"/>
    <mergeCell ref="P854:T854"/>
    <mergeCell ref="N855:O855"/>
    <mergeCell ref="P855:T855"/>
    <mergeCell ref="N856:O856"/>
    <mergeCell ref="P856:T856"/>
    <mergeCell ref="N857:O857"/>
    <mergeCell ref="P857:T857"/>
    <mergeCell ref="N843:O843"/>
    <mergeCell ref="N844:O844"/>
    <mergeCell ref="P844:T844"/>
    <mergeCell ref="N845:O845"/>
    <mergeCell ref="N846:O846"/>
    <mergeCell ref="P846:T846"/>
    <mergeCell ref="N847:O847"/>
    <mergeCell ref="N852:O852"/>
    <mergeCell ref="P852:T852"/>
    <mergeCell ref="N838:O838"/>
    <mergeCell ref="P838:T838"/>
    <mergeCell ref="N839:O839"/>
    <mergeCell ref="P839:T839"/>
    <mergeCell ref="N840:O840"/>
    <mergeCell ref="N841:O841"/>
    <mergeCell ref="P841:T841"/>
    <mergeCell ref="N842:O842"/>
    <mergeCell ref="P842:T842"/>
    <mergeCell ref="N833:O833"/>
    <mergeCell ref="P833:T833"/>
    <mergeCell ref="N834:O834"/>
    <mergeCell ref="N835:O835"/>
    <mergeCell ref="P835:T835"/>
    <mergeCell ref="N836:O836"/>
    <mergeCell ref="P836:T836"/>
    <mergeCell ref="N837:O837"/>
    <mergeCell ref="P837:T837"/>
    <mergeCell ref="N828:O828"/>
    <mergeCell ref="P828:T828"/>
    <mergeCell ref="N829:O829"/>
    <mergeCell ref="P829:T829"/>
    <mergeCell ref="N830:O830"/>
    <mergeCell ref="P830:T830"/>
    <mergeCell ref="N831:O831"/>
    <mergeCell ref="P831:T831"/>
    <mergeCell ref="N832:O832"/>
    <mergeCell ref="N823:O823"/>
    <mergeCell ref="P823:T823"/>
    <mergeCell ref="N824:O824"/>
    <mergeCell ref="P824:T824"/>
    <mergeCell ref="N825:O825"/>
    <mergeCell ref="P825:T825"/>
    <mergeCell ref="N826:O826"/>
    <mergeCell ref="P826:T826"/>
    <mergeCell ref="N827:O827"/>
    <mergeCell ref="P827:T827"/>
    <mergeCell ref="N813:O813"/>
    <mergeCell ref="P813:T813"/>
    <mergeCell ref="N814:O814"/>
    <mergeCell ref="N815:O815"/>
    <mergeCell ref="P815:T815"/>
    <mergeCell ref="N816:O816"/>
    <mergeCell ref="N817:O817"/>
    <mergeCell ref="P817:T817"/>
    <mergeCell ref="N818:O818"/>
    <mergeCell ref="N808:O808"/>
    <mergeCell ref="P808:T808"/>
    <mergeCell ref="N809:O809"/>
    <mergeCell ref="P809:T809"/>
    <mergeCell ref="N810:O810"/>
    <mergeCell ref="P810:T810"/>
    <mergeCell ref="N811:O811"/>
    <mergeCell ref="N812:O812"/>
    <mergeCell ref="P812:T812"/>
    <mergeCell ref="N802:O802"/>
    <mergeCell ref="P802:T802"/>
    <mergeCell ref="N803:O803"/>
    <mergeCell ref="N804:O804"/>
    <mergeCell ref="P804:T804"/>
    <mergeCell ref="N805:O805"/>
    <mergeCell ref="N806:O806"/>
    <mergeCell ref="P806:T806"/>
    <mergeCell ref="N807:O807"/>
    <mergeCell ref="P807:T807"/>
    <mergeCell ref="N797:O797"/>
    <mergeCell ref="P797:T797"/>
    <mergeCell ref="N798:O798"/>
    <mergeCell ref="P798:T798"/>
    <mergeCell ref="N799:O799"/>
    <mergeCell ref="P799:T799"/>
    <mergeCell ref="N800:O800"/>
    <mergeCell ref="P800:T800"/>
    <mergeCell ref="N801:O801"/>
    <mergeCell ref="P801:T801"/>
    <mergeCell ref="N787:O787"/>
    <mergeCell ref="N788:O788"/>
    <mergeCell ref="P788:T788"/>
    <mergeCell ref="N789:O789"/>
    <mergeCell ref="N794:O794"/>
    <mergeCell ref="P794:T794"/>
    <mergeCell ref="N795:O795"/>
    <mergeCell ref="P795:T795"/>
    <mergeCell ref="N796:O796"/>
    <mergeCell ref="P796:T796"/>
    <mergeCell ref="N781:O781"/>
    <mergeCell ref="P781:T781"/>
    <mergeCell ref="N782:O782"/>
    <mergeCell ref="N783:O783"/>
    <mergeCell ref="P783:T783"/>
    <mergeCell ref="N784:O784"/>
    <mergeCell ref="P784:T784"/>
    <mergeCell ref="N785:O785"/>
    <mergeCell ref="N786:O786"/>
    <mergeCell ref="P786:T786"/>
    <mergeCell ref="N776:O776"/>
    <mergeCell ref="N777:O777"/>
    <mergeCell ref="P777:T777"/>
    <mergeCell ref="N778:O778"/>
    <mergeCell ref="P778:T778"/>
    <mergeCell ref="N779:O779"/>
    <mergeCell ref="P779:T779"/>
    <mergeCell ref="N780:O780"/>
    <mergeCell ref="P780:T780"/>
    <mergeCell ref="N771:O771"/>
    <mergeCell ref="P771:T771"/>
    <mergeCell ref="N772:O772"/>
    <mergeCell ref="P772:T772"/>
    <mergeCell ref="N773:O773"/>
    <mergeCell ref="P773:T773"/>
    <mergeCell ref="N774:O774"/>
    <mergeCell ref="N775:O775"/>
    <mergeCell ref="P775:T775"/>
    <mergeCell ref="N766:O766"/>
    <mergeCell ref="P766:T766"/>
    <mergeCell ref="N767:O767"/>
    <mergeCell ref="P767:T767"/>
    <mergeCell ref="N768:O768"/>
    <mergeCell ref="P768:T768"/>
    <mergeCell ref="N769:O769"/>
    <mergeCell ref="P769:T769"/>
    <mergeCell ref="N770:O770"/>
    <mergeCell ref="P770:T770"/>
    <mergeCell ref="N756:O756"/>
    <mergeCell ref="N757:O757"/>
    <mergeCell ref="P757:T757"/>
    <mergeCell ref="N758:O758"/>
    <mergeCell ref="N759:O759"/>
    <mergeCell ref="P759:T759"/>
    <mergeCell ref="N760:O760"/>
    <mergeCell ref="N765:O765"/>
    <mergeCell ref="P765:T765"/>
    <mergeCell ref="N751:O751"/>
    <mergeCell ref="P751:T751"/>
    <mergeCell ref="N752:O752"/>
    <mergeCell ref="P752:T752"/>
    <mergeCell ref="N753:O753"/>
    <mergeCell ref="N754:O754"/>
    <mergeCell ref="P754:T754"/>
    <mergeCell ref="N755:O755"/>
    <mergeCell ref="P755:T755"/>
    <mergeCell ref="N746:O746"/>
    <mergeCell ref="P746:T746"/>
    <mergeCell ref="N747:O747"/>
    <mergeCell ref="N748:O748"/>
    <mergeCell ref="P748:T748"/>
    <mergeCell ref="N749:O749"/>
    <mergeCell ref="P749:T749"/>
    <mergeCell ref="N750:O750"/>
    <mergeCell ref="P750:T750"/>
    <mergeCell ref="N741:O741"/>
    <mergeCell ref="P741:T741"/>
    <mergeCell ref="N742:O742"/>
    <mergeCell ref="P742:T742"/>
    <mergeCell ref="N743:O743"/>
    <mergeCell ref="P743:T743"/>
    <mergeCell ref="N744:O744"/>
    <mergeCell ref="P744:T744"/>
    <mergeCell ref="N745:O745"/>
    <mergeCell ref="N737:O737"/>
    <mergeCell ref="P737:T737"/>
    <mergeCell ref="N738:O738"/>
    <mergeCell ref="P738:T738"/>
    <mergeCell ref="N739:O739"/>
    <mergeCell ref="P739:T739"/>
    <mergeCell ref="N740:O740"/>
    <mergeCell ref="P740:T740"/>
    <mergeCell ref="N727:O727"/>
    <mergeCell ref="P727:T727"/>
    <mergeCell ref="N728:O728"/>
    <mergeCell ref="N729:O729"/>
    <mergeCell ref="P729:T729"/>
    <mergeCell ref="N730:O730"/>
    <mergeCell ref="N731:O731"/>
    <mergeCell ref="P731:T731"/>
    <mergeCell ref="N732:O732"/>
    <mergeCell ref="N722:O722"/>
    <mergeCell ref="P722:T722"/>
    <mergeCell ref="N723:O723"/>
    <mergeCell ref="P723:T723"/>
    <mergeCell ref="N724:O724"/>
    <mergeCell ref="P724:T724"/>
    <mergeCell ref="N725:O725"/>
    <mergeCell ref="N726:O726"/>
    <mergeCell ref="P726:T726"/>
    <mergeCell ref="N716:O716"/>
    <mergeCell ref="P716:T716"/>
    <mergeCell ref="N717:O717"/>
    <mergeCell ref="N718:O718"/>
    <mergeCell ref="P718:T718"/>
    <mergeCell ref="N719:O719"/>
    <mergeCell ref="N720:O720"/>
    <mergeCell ref="P720:T720"/>
    <mergeCell ref="N721:O721"/>
    <mergeCell ref="P721:T721"/>
    <mergeCell ref="N711:O711"/>
    <mergeCell ref="P711:T711"/>
    <mergeCell ref="N712:O712"/>
    <mergeCell ref="P712:T712"/>
    <mergeCell ref="N713:O713"/>
    <mergeCell ref="P713:T713"/>
    <mergeCell ref="N714:O714"/>
    <mergeCell ref="P714:T714"/>
    <mergeCell ref="N715:O715"/>
    <mergeCell ref="P715:T715"/>
    <mergeCell ref="N701:O701"/>
    <mergeCell ref="N702:O702"/>
    <mergeCell ref="P702:T702"/>
    <mergeCell ref="N703:O703"/>
    <mergeCell ref="N708:O708"/>
    <mergeCell ref="P708:T708"/>
    <mergeCell ref="N709:O709"/>
    <mergeCell ref="P709:T709"/>
    <mergeCell ref="N710:O710"/>
    <mergeCell ref="P710:T710"/>
    <mergeCell ref="N695:O695"/>
    <mergeCell ref="P695:T695"/>
    <mergeCell ref="N696:O696"/>
    <mergeCell ref="N697:O697"/>
    <mergeCell ref="P697:T697"/>
    <mergeCell ref="N698:O698"/>
    <mergeCell ref="P698:T698"/>
    <mergeCell ref="N699:O699"/>
    <mergeCell ref="N700:O700"/>
    <mergeCell ref="P700:T700"/>
    <mergeCell ref="N690:O690"/>
    <mergeCell ref="N691:O691"/>
    <mergeCell ref="P691:T691"/>
    <mergeCell ref="N692:O692"/>
    <mergeCell ref="P692:T692"/>
    <mergeCell ref="N693:O693"/>
    <mergeCell ref="P693:T693"/>
    <mergeCell ref="N694:O694"/>
    <mergeCell ref="P694:T694"/>
    <mergeCell ref="N685:O685"/>
    <mergeCell ref="P685:T685"/>
    <mergeCell ref="N686:O686"/>
    <mergeCell ref="P686:T686"/>
    <mergeCell ref="N687:O687"/>
    <mergeCell ref="P687:T687"/>
    <mergeCell ref="N688:O688"/>
    <mergeCell ref="N689:O689"/>
    <mergeCell ref="P689:T689"/>
    <mergeCell ref="N680:O680"/>
    <mergeCell ref="P680:T680"/>
    <mergeCell ref="N681:O681"/>
    <mergeCell ref="P681:T681"/>
    <mergeCell ref="N682:O682"/>
    <mergeCell ref="P682:T682"/>
    <mergeCell ref="N683:O683"/>
    <mergeCell ref="P683:T683"/>
    <mergeCell ref="N684:O684"/>
    <mergeCell ref="P684:T684"/>
    <mergeCell ref="N670:O670"/>
    <mergeCell ref="N671:O671"/>
    <mergeCell ref="P671:T671"/>
    <mergeCell ref="N672:O672"/>
    <mergeCell ref="N673:O673"/>
    <mergeCell ref="P673:T673"/>
    <mergeCell ref="N674:O674"/>
    <mergeCell ref="N679:O679"/>
    <mergeCell ref="P679:T679"/>
    <mergeCell ref="N665:O665"/>
    <mergeCell ref="P665:T665"/>
    <mergeCell ref="N666:O666"/>
    <mergeCell ref="P666:T666"/>
    <mergeCell ref="N667:O667"/>
    <mergeCell ref="N668:O668"/>
    <mergeCell ref="P668:T668"/>
    <mergeCell ref="N669:O669"/>
    <mergeCell ref="P669:T669"/>
    <mergeCell ref="N660:O660"/>
    <mergeCell ref="P660:T660"/>
    <mergeCell ref="N661:O661"/>
    <mergeCell ref="N662:O662"/>
    <mergeCell ref="P662:T662"/>
    <mergeCell ref="N663:O663"/>
    <mergeCell ref="P663:T663"/>
    <mergeCell ref="N664:O664"/>
    <mergeCell ref="P664:T664"/>
    <mergeCell ref="N655:O655"/>
    <mergeCell ref="P655:T655"/>
    <mergeCell ref="N656:O656"/>
    <mergeCell ref="P656:T656"/>
    <mergeCell ref="N657:O657"/>
    <mergeCell ref="P657:T657"/>
    <mergeCell ref="N658:O658"/>
    <mergeCell ref="P658:T658"/>
    <mergeCell ref="N659:O659"/>
    <mergeCell ref="N650:O650"/>
    <mergeCell ref="P650:T650"/>
    <mergeCell ref="N651:O651"/>
    <mergeCell ref="P651:T651"/>
    <mergeCell ref="N652:O652"/>
    <mergeCell ref="P652:T652"/>
    <mergeCell ref="N653:O653"/>
    <mergeCell ref="P653:T653"/>
    <mergeCell ref="N654:O654"/>
    <mergeCell ref="P654:T654"/>
    <mergeCell ref="N640:O640"/>
    <mergeCell ref="P640:T640"/>
    <mergeCell ref="N641:O641"/>
    <mergeCell ref="N642:O642"/>
    <mergeCell ref="P642:T642"/>
    <mergeCell ref="N643:O643"/>
    <mergeCell ref="N644:O644"/>
    <mergeCell ref="P644:T644"/>
    <mergeCell ref="N645:O645"/>
    <mergeCell ref="N635:O635"/>
    <mergeCell ref="P635:T635"/>
    <mergeCell ref="N636:O636"/>
    <mergeCell ref="P636:T636"/>
    <mergeCell ref="N637:O637"/>
    <mergeCell ref="P637:T637"/>
    <mergeCell ref="N638:O638"/>
    <mergeCell ref="N639:O639"/>
    <mergeCell ref="P639:T639"/>
    <mergeCell ref="N629:O629"/>
    <mergeCell ref="P629:T629"/>
    <mergeCell ref="N630:O630"/>
    <mergeCell ref="N631:O631"/>
    <mergeCell ref="P631:T631"/>
    <mergeCell ref="N632:O632"/>
    <mergeCell ref="N633:O633"/>
    <mergeCell ref="P633:T633"/>
    <mergeCell ref="N634:O634"/>
    <mergeCell ref="P634:T634"/>
    <mergeCell ref="N624:O624"/>
    <mergeCell ref="P624:T624"/>
    <mergeCell ref="N625:O625"/>
    <mergeCell ref="P625:T625"/>
    <mergeCell ref="N626:O626"/>
    <mergeCell ref="P626:T626"/>
    <mergeCell ref="N627:O627"/>
    <mergeCell ref="P627:T627"/>
    <mergeCell ref="N628:O628"/>
    <mergeCell ref="P628:T628"/>
    <mergeCell ref="N614:O614"/>
    <mergeCell ref="N615:O615"/>
    <mergeCell ref="P615:T615"/>
    <mergeCell ref="N616:O616"/>
    <mergeCell ref="N621:O621"/>
    <mergeCell ref="P621:T621"/>
    <mergeCell ref="N622:O622"/>
    <mergeCell ref="P622:T622"/>
    <mergeCell ref="N623:O623"/>
    <mergeCell ref="P623:T623"/>
    <mergeCell ref="N608:O608"/>
    <mergeCell ref="P608:T608"/>
    <mergeCell ref="N609:O609"/>
    <mergeCell ref="N610:O610"/>
    <mergeCell ref="P610:T610"/>
    <mergeCell ref="N611:O611"/>
    <mergeCell ref="P611:T611"/>
    <mergeCell ref="N612:O612"/>
    <mergeCell ref="N613:O613"/>
    <mergeCell ref="P613:T613"/>
    <mergeCell ref="N603:O603"/>
    <mergeCell ref="N604:O604"/>
    <mergeCell ref="P604:T604"/>
    <mergeCell ref="N605:O605"/>
    <mergeCell ref="P605:T605"/>
    <mergeCell ref="N606:O606"/>
    <mergeCell ref="P606:T606"/>
    <mergeCell ref="N607:O607"/>
    <mergeCell ref="P607:T607"/>
    <mergeCell ref="N598:O598"/>
    <mergeCell ref="P598:T598"/>
    <mergeCell ref="N599:O599"/>
    <mergeCell ref="P599:T599"/>
    <mergeCell ref="N600:O600"/>
    <mergeCell ref="P600:T600"/>
    <mergeCell ref="N601:O601"/>
    <mergeCell ref="N602:O602"/>
    <mergeCell ref="P602:T602"/>
    <mergeCell ref="N593:O593"/>
    <mergeCell ref="P593:T593"/>
    <mergeCell ref="N594:O594"/>
    <mergeCell ref="P594:T594"/>
    <mergeCell ref="N595:O595"/>
    <mergeCell ref="P595:T595"/>
    <mergeCell ref="N596:O596"/>
    <mergeCell ref="P596:T596"/>
    <mergeCell ref="N597:O597"/>
    <mergeCell ref="P597:T597"/>
    <mergeCell ref="N583:O583"/>
    <mergeCell ref="N584:O584"/>
    <mergeCell ref="P584:T584"/>
    <mergeCell ref="N585:O585"/>
    <mergeCell ref="N586:O586"/>
    <mergeCell ref="P586:T586"/>
    <mergeCell ref="N587:O587"/>
    <mergeCell ref="N592:O592"/>
    <mergeCell ref="P592:T592"/>
    <mergeCell ref="N578:O578"/>
    <mergeCell ref="P578:T578"/>
    <mergeCell ref="N579:O579"/>
    <mergeCell ref="P579:T579"/>
    <mergeCell ref="N580:O580"/>
    <mergeCell ref="N581:O581"/>
    <mergeCell ref="P581:T581"/>
    <mergeCell ref="N582:O582"/>
    <mergeCell ref="P582:T582"/>
    <mergeCell ref="N573:O573"/>
    <mergeCell ref="P573:T573"/>
    <mergeCell ref="N574:O574"/>
    <mergeCell ref="N575:O575"/>
    <mergeCell ref="P575:T575"/>
    <mergeCell ref="N576:O576"/>
    <mergeCell ref="P576:T576"/>
    <mergeCell ref="N577:O577"/>
    <mergeCell ref="P577:T577"/>
    <mergeCell ref="N568:O568"/>
    <mergeCell ref="P568:T568"/>
    <mergeCell ref="N569:O569"/>
    <mergeCell ref="P569:T569"/>
    <mergeCell ref="N570:O570"/>
    <mergeCell ref="P570:T570"/>
    <mergeCell ref="N571:O571"/>
    <mergeCell ref="P571:T571"/>
    <mergeCell ref="N572:O572"/>
    <mergeCell ref="N558:O558"/>
    <mergeCell ref="P558:T558"/>
    <mergeCell ref="N559:O559"/>
    <mergeCell ref="P559:T559"/>
    <mergeCell ref="N560:O560"/>
    <mergeCell ref="P560:T560"/>
    <mergeCell ref="N567:O567"/>
    <mergeCell ref="P567:T567"/>
    <mergeCell ref="N561:O561"/>
    <mergeCell ref="P561:T561"/>
    <mergeCell ref="N562:O562"/>
    <mergeCell ref="P562:T562"/>
    <mergeCell ref="N564:O564"/>
    <mergeCell ref="P564:T564"/>
    <mergeCell ref="N565:O565"/>
    <mergeCell ref="P565:T565"/>
    <mergeCell ref="N566:O566"/>
    <mergeCell ref="P566:T566"/>
    <mergeCell ref="N563:O563"/>
    <mergeCell ref="P563:T563"/>
    <mergeCell ref="N548:O548"/>
    <mergeCell ref="P548:T548"/>
    <mergeCell ref="N549:O549"/>
    <mergeCell ref="N550:O550"/>
    <mergeCell ref="P550:T550"/>
    <mergeCell ref="N551:O551"/>
    <mergeCell ref="N552:O552"/>
    <mergeCell ref="P552:T552"/>
    <mergeCell ref="N553:O553"/>
    <mergeCell ref="N543:O543"/>
    <mergeCell ref="P543:T543"/>
    <mergeCell ref="N544:O544"/>
    <mergeCell ref="P544:T544"/>
    <mergeCell ref="N545:O545"/>
    <mergeCell ref="P545:T545"/>
    <mergeCell ref="N546:O546"/>
    <mergeCell ref="N547:O547"/>
    <mergeCell ref="P547:T547"/>
    <mergeCell ref="N538:O538"/>
    <mergeCell ref="N539:O539"/>
    <mergeCell ref="P539:T539"/>
    <mergeCell ref="N540:O540"/>
    <mergeCell ref="N541:O541"/>
    <mergeCell ref="P541:T541"/>
    <mergeCell ref="N542:O542"/>
    <mergeCell ref="P542:T542"/>
    <mergeCell ref="N532:O532"/>
    <mergeCell ref="P532:T532"/>
    <mergeCell ref="N533:O533"/>
    <mergeCell ref="P533:T533"/>
    <mergeCell ref="N534:O534"/>
    <mergeCell ref="P534:T534"/>
    <mergeCell ref="N535:O535"/>
    <mergeCell ref="P535:T535"/>
    <mergeCell ref="N536:O536"/>
    <mergeCell ref="P536:T536"/>
    <mergeCell ref="N529:O529"/>
    <mergeCell ref="P529:T529"/>
    <mergeCell ref="N530:O530"/>
    <mergeCell ref="P530:T530"/>
    <mergeCell ref="N531:O531"/>
    <mergeCell ref="P531:T531"/>
    <mergeCell ref="N516:O516"/>
    <mergeCell ref="P516:T516"/>
    <mergeCell ref="N517:O517"/>
    <mergeCell ref="N518:O518"/>
    <mergeCell ref="P518:T518"/>
    <mergeCell ref="N519:O519"/>
    <mergeCell ref="P519:T519"/>
    <mergeCell ref="N520:O520"/>
    <mergeCell ref="N521:O521"/>
    <mergeCell ref="P521:T521"/>
    <mergeCell ref="N537:O537"/>
    <mergeCell ref="P537:T537"/>
    <mergeCell ref="N514:O514"/>
    <mergeCell ref="P514:T514"/>
    <mergeCell ref="N515:O515"/>
    <mergeCell ref="P515:T515"/>
    <mergeCell ref="N506:O506"/>
    <mergeCell ref="P506:T506"/>
    <mergeCell ref="N507:O507"/>
    <mergeCell ref="P507:T507"/>
    <mergeCell ref="N508:O508"/>
    <mergeCell ref="P508:T508"/>
    <mergeCell ref="N509:O509"/>
    <mergeCell ref="N510:O510"/>
    <mergeCell ref="P510:T510"/>
    <mergeCell ref="N522:O522"/>
    <mergeCell ref="N523:O523"/>
    <mergeCell ref="P523:T523"/>
    <mergeCell ref="N524:O524"/>
    <mergeCell ref="N504:O504"/>
    <mergeCell ref="P504:T504"/>
    <mergeCell ref="N505:O505"/>
    <mergeCell ref="P505:T505"/>
    <mergeCell ref="N491:O491"/>
    <mergeCell ref="N492:O492"/>
    <mergeCell ref="P492:T492"/>
    <mergeCell ref="N493:O493"/>
    <mergeCell ref="N494:O494"/>
    <mergeCell ref="P494:T494"/>
    <mergeCell ref="N495:O495"/>
    <mergeCell ref="N500:O500"/>
    <mergeCell ref="P500:T500"/>
    <mergeCell ref="N511:O511"/>
    <mergeCell ref="N512:O512"/>
    <mergeCell ref="P512:T512"/>
    <mergeCell ref="N513:O513"/>
    <mergeCell ref="P513:T513"/>
    <mergeCell ref="N490:O490"/>
    <mergeCell ref="P490:T490"/>
    <mergeCell ref="N481:O481"/>
    <mergeCell ref="P481:T481"/>
    <mergeCell ref="N482:O482"/>
    <mergeCell ref="N483:O483"/>
    <mergeCell ref="P483:T483"/>
    <mergeCell ref="N484:O484"/>
    <mergeCell ref="P484:T484"/>
    <mergeCell ref="N485:O485"/>
    <mergeCell ref="P485:T485"/>
    <mergeCell ref="N501:O501"/>
    <mergeCell ref="P501:T501"/>
    <mergeCell ref="N502:O502"/>
    <mergeCell ref="P502:T502"/>
    <mergeCell ref="N503:O503"/>
    <mergeCell ref="P503:T503"/>
    <mergeCell ref="N480:O480"/>
    <mergeCell ref="N468:O468"/>
    <mergeCell ref="P468:T468"/>
    <mergeCell ref="N469:O469"/>
    <mergeCell ref="P469:T469"/>
    <mergeCell ref="N470:O470"/>
    <mergeCell ref="P470:T470"/>
    <mergeCell ref="N471:O471"/>
    <mergeCell ref="P471:T471"/>
    <mergeCell ref="N475:O475"/>
    <mergeCell ref="P475:T475"/>
    <mergeCell ref="N486:O486"/>
    <mergeCell ref="P486:T486"/>
    <mergeCell ref="N487:O487"/>
    <mergeCell ref="P487:T487"/>
    <mergeCell ref="N488:O488"/>
    <mergeCell ref="N489:O489"/>
    <mergeCell ref="P489:T489"/>
    <mergeCell ref="N459:O459"/>
    <mergeCell ref="N460:O460"/>
    <mergeCell ref="P460:T460"/>
    <mergeCell ref="N461:O461"/>
    <mergeCell ref="N462:O462"/>
    <mergeCell ref="P462:T462"/>
    <mergeCell ref="N463:O463"/>
    <mergeCell ref="N453:O453"/>
    <mergeCell ref="P453:T453"/>
    <mergeCell ref="N454:O454"/>
    <mergeCell ref="P454:T454"/>
    <mergeCell ref="N455:O455"/>
    <mergeCell ref="P455:T455"/>
    <mergeCell ref="N456:O456"/>
    <mergeCell ref="N457:O457"/>
    <mergeCell ref="P457:T457"/>
    <mergeCell ref="N479:O479"/>
    <mergeCell ref="P479:T479"/>
    <mergeCell ref="N476:O476"/>
    <mergeCell ref="P476:T476"/>
    <mergeCell ref="N477:O477"/>
    <mergeCell ref="P477:T477"/>
    <mergeCell ref="N478:O478"/>
    <mergeCell ref="P478:T478"/>
    <mergeCell ref="N472:O472"/>
    <mergeCell ref="P472:T472"/>
    <mergeCell ref="N473:O473"/>
    <mergeCell ref="P473:T473"/>
    <mergeCell ref="N474:O474"/>
    <mergeCell ref="P474:T474"/>
    <mergeCell ref="N445:O445"/>
    <mergeCell ref="P445:T445"/>
    <mergeCell ref="N446:O446"/>
    <mergeCell ref="P446:T446"/>
    <mergeCell ref="N437:O437"/>
    <mergeCell ref="P437:T437"/>
    <mergeCell ref="N447:O447"/>
    <mergeCell ref="P447:T447"/>
    <mergeCell ref="N448:O448"/>
    <mergeCell ref="N449:O449"/>
    <mergeCell ref="P449:T449"/>
    <mergeCell ref="N450:O450"/>
    <mergeCell ref="N451:O451"/>
    <mergeCell ref="P451:T451"/>
    <mergeCell ref="N452:O452"/>
    <mergeCell ref="P452:T452"/>
    <mergeCell ref="N458:O458"/>
    <mergeCell ref="P458:T458"/>
    <mergeCell ref="N438:O438"/>
    <mergeCell ref="P438:T438"/>
    <mergeCell ref="N439:O439"/>
    <mergeCell ref="P439:T439"/>
    <mergeCell ref="N440:O440"/>
    <mergeCell ref="P440:T440"/>
    <mergeCell ref="N441:O441"/>
    <mergeCell ref="P441:T441"/>
    <mergeCell ref="N442:O442"/>
    <mergeCell ref="P442:T442"/>
    <mergeCell ref="N444:O444"/>
    <mergeCell ref="P444:T444"/>
    <mergeCell ref="N443:O443"/>
    <mergeCell ref="P443:T443"/>
    <mergeCell ref="N428:O428"/>
    <mergeCell ref="N429:O429"/>
    <mergeCell ref="P429:T429"/>
    <mergeCell ref="N430:O430"/>
    <mergeCell ref="N435:O435"/>
    <mergeCell ref="P435:T435"/>
    <mergeCell ref="N436:O436"/>
    <mergeCell ref="P436:T436"/>
    <mergeCell ref="N422:O422"/>
    <mergeCell ref="P422:T422"/>
    <mergeCell ref="N423:O423"/>
    <mergeCell ref="N424:O424"/>
    <mergeCell ref="P424:T424"/>
    <mergeCell ref="N425:O425"/>
    <mergeCell ref="P425:T425"/>
    <mergeCell ref="N426:O426"/>
    <mergeCell ref="N427:O427"/>
    <mergeCell ref="P427:T427"/>
    <mergeCell ref="N417:O417"/>
    <mergeCell ref="N418:O418"/>
    <mergeCell ref="P418:T418"/>
    <mergeCell ref="N419:O419"/>
    <mergeCell ref="P419:T419"/>
    <mergeCell ref="N420:O420"/>
    <mergeCell ref="P420:T420"/>
    <mergeCell ref="N421:O421"/>
    <mergeCell ref="P421:T421"/>
    <mergeCell ref="N410:O410"/>
    <mergeCell ref="P410:T410"/>
    <mergeCell ref="N411:O411"/>
    <mergeCell ref="P411:T411"/>
    <mergeCell ref="N412:O412"/>
    <mergeCell ref="P412:T412"/>
    <mergeCell ref="N415:O415"/>
    <mergeCell ref="N416:O416"/>
    <mergeCell ref="P416:T416"/>
    <mergeCell ref="N414:O414"/>
    <mergeCell ref="P414:T414"/>
    <mergeCell ref="N413:O413"/>
    <mergeCell ref="N405:O405"/>
    <mergeCell ref="P405:T405"/>
    <mergeCell ref="N406:O406"/>
    <mergeCell ref="P406:T406"/>
    <mergeCell ref="N407:O407"/>
    <mergeCell ref="P407:T407"/>
    <mergeCell ref="N408:O408"/>
    <mergeCell ref="P408:T408"/>
    <mergeCell ref="N409:O409"/>
    <mergeCell ref="P409:T409"/>
    <mergeCell ref="N395:O395"/>
    <mergeCell ref="N396:O396"/>
    <mergeCell ref="P396:T396"/>
    <mergeCell ref="N397:O397"/>
    <mergeCell ref="N398:O398"/>
    <mergeCell ref="P398:T398"/>
    <mergeCell ref="N399:O399"/>
    <mergeCell ref="N404:O404"/>
    <mergeCell ref="P404:T404"/>
    <mergeCell ref="N390:O390"/>
    <mergeCell ref="P390:T390"/>
    <mergeCell ref="N391:O391"/>
    <mergeCell ref="P391:T391"/>
    <mergeCell ref="N392:O392"/>
    <mergeCell ref="N393:O393"/>
    <mergeCell ref="P393:T393"/>
    <mergeCell ref="N394:O394"/>
    <mergeCell ref="P394:T394"/>
    <mergeCell ref="N384:O384"/>
    <mergeCell ref="N385:O385"/>
    <mergeCell ref="P385:T385"/>
    <mergeCell ref="N386:O386"/>
    <mergeCell ref="N387:O387"/>
    <mergeCell ref="P387:T387"/>
    <mergeCell ref="N388:O388"/>
    <mergeCell ref="P388:T388"/>
    <mergeCell ref="N389:O389"/>
    <mergeCell ref="P389:T389"/>
    <mergeCell ref="N379:O379"/>
    <mergeCell ref="P379:T379"/>
    <mergeCell ref="N382:O382"/>
    <mergeCell ref="P382:T382"/>
    <mergeCell ref="N383:O383"/>
    <mergeCell ref="P383:T383"/>
    <mergeCell ref="N370:O370"/>
    <mergeCell ref="N375:O375"/>
    <mergeCell ref="P375:T375"/>
    <mergeCell ref="N376:O376"/>
    <mergeCell ref="P376:T376"/>
    <mergeCell ref="N377:O377"/>
    <mergeCell ref="P377:T377"/>
    <mergeCell ref="N378:O378"/>
    <mergeCell ref="P378:T378"/>
    <mergeCell ref="N381:O381"/>
    <mergeCell ref="P381:T381"/>
    <mergeCell ref="N380:O380"/>
    <mergeCell ref="P380:T380"/>
    <mergeCell ref="N364:O364"/>
    <mergeCell ref="P364:T364"/>
    <mergeCell ref="N365:O365"/>
    <mergeCell ref="P365:T365"/>
    <mergeCell ref="N366:O366"/>
    <mergeCell ref="N367:O367"/>
    <mergeCell ref="P367:T367"/>
    <mergeCell ref="N368:O368"/>
    <mergeCell ref="N369:O369"/>
    <mergeCell ref="P369:T369"/>
    <mergeCell ref="N359:O359"/>
    <mergeCell ref="P359:T359"/>
    <mergeCell ref="N360:O360"/>
    <mergeCell ref="P360:T360"/>
    <mergeCell ref="N361:O361"/>
    <mergeCell ref="P361:T361"/>
    <mergeCell ref="N362:O362"/>
    <mergeCell ref="P362:T362"/>
    <mergeCell ref="N363:O363"/>
    <mergeCell ref="N353:O353"/>
    <mergeCell ref="P353:T353"/>
    <mergeCell ref="N354:O354"/>
    <mergeCell ref="P354:T354"/>
    <mergeCell ref="N355:O355"/>
    <mergeCell ref="N356:O356"/>
    <mergeCell ref="P356:T356"/>
    <mergeCell ref="N357:O357"/>
    <mergeCell ref="N358:O358"/>
    <mergeCell ref="P358:T358"/>
    <mergeCell ref="N348:O348"/>
    <mergeCell ref="P348:T348"/>
    <mergeCell ref="N349:O349"/>
    <mergeCell ref="P349:T349"/>
    <mergeCell ref="N350:O350"/>
    <mergeCell ref="P350:T350"/>
    <mergeCell ref="N351:O351"/>
    <mergeCell ref="P351:T351"/>
    <mergeCell ref="N352:O352"/>
    <mergeCell ref="P352:T352"/>
    <mergeCell ref="N347:O347"/>
    <mergeCell ref="P347:T347"/>
    <mergeCell ref="N75:O75"/>
    <mergeCell ref="P75:T75"/>
    <mergeCell ref="P76:T76"/>
    <mergeCell ref="P77:T77"/>
    <mergeCell ref="P78:T78"/>
    <mergeCell ref="P79:T79"/>
    <mergeCell ref="P80:T80"/>
    <mergeCell ref="P81:T81"/>
    <mergeCell ref="N78:O78"/>
    <mergeCell ref="N76:O76"/>
    <mergeCell ref="N77:O77"/>
    <mergeCell ref="N81:O81"/>
    <mergeCell ref="N93:O93"/>
    <mergeCell ref="N94:O94"/>
    <mergeCell ref="N91:O91"/>
    <mergeCell ref="N92:O92"/>
    <mergeCell ref="P92:T92"/>
    <mergeCell ref="P93:T93"/>
    <mergeCell ref="N97:O97"/>
    <mergeCell ref="N95:O95"/>
    <mergeCell ref="N96:O96"/>
    <mergeCell ref="P95:T95"/>
    <mergeCell ref="N199:O199"/>
    <mergeCell ref="P199:T199"/>
    <mergeCell ref="N200:O200"/>
    <mergeCell ref="P200:T200"/>
    <mergeCell ref="N201:O201"/>
    <mergeCell ref="P201:T201"/>
    <mergeCell ref="N202:O202"/>
    <mergeCell ref="P202:T202"/>
    <mergeCell ref="N5:O5"/>
    <mergeCell ref="P5:Q5"/>
    <mergeCell ref="R5:S5"/>
    <mergeCell ref="N42:O42"/>
    <mergeCell ref="P42:T42"/>
    <mergeCell ref="P43:T43"/>
    <mergeCell ref="N43:O43"/>
    <mergeCell ref="N54:O54"/>
    <mergeCell ref="N55:O55"/>
    <mergeCell ref="P54:T54"/>
    <mergeCell ref="P336:T336"/>
    <mergeCell ref="P338:T338"/>
    <mergeCell ref="N339:O339"/>
    <mergeCell ref="N340:O340"/>
    <mergeCell ref="P340:T340"/>
    <mergeCell ref="N341:O341"/>
    <mergeCell ref="N346:O346"/>
    <mergeCell ref="P346:T346"/>
    <mergeCell ref="N197:O197"/>
    <mergeCell ref="P197:T197"/>
    <mergeCell ref="N198:O198"/>
    <mergeCell ref="P198:T198"/>
    <mergeCell ref="N58:O58"/>
    <mergeCell ref="N59:O59"/>
    <mergeCell ref="N56:O56"/>
    <mergeCell ref="N57:O57"/>
    <mergeCell ref="P56:T56"/>
    <mergeCell ref="P58:T58"/>
    <mergeCell ref="P59:T59"/>
    <mergeCell ref="N62:O62"/>
    <mergeCell ref="N63:O63"/>
    <mergeCell ref="N60:O60"/>
    <mergeCell ref="N61:O61"/>
    <mergeCell ref="P60:T60"/>
    <mergeCell ref="P61:T61"/>
    <mergeCell ref="P62:T62"/>
    <mergeCell ref="N66:O66"/>
    <mergeCell ref="N67:O67"/>
    <mergeCell ref="N64:O64"/>
    <mergeCell ref="N65:O65"/>
    <mergeCell ref="P64:T64"/>
    <mergeCell ref="P65:T65"/>
    <mergeCell ref="P67:T67"/>
    <mergeCell ref="P69:T69"/>
    <mergeCell ref="N82:O82"/>
    <mergeCell ref="N79:O79"/>
    <mergeCell ref="N80:O80"/>
    <mergeCell ref="P82:T82"/>
    <mergeCell ref="N85:O85"/>
    <mergeCell ref="N70:O70"/>
    <mergeCell ref="N68:O68"/>
    <mergeCell ref="N69:O69"/>
    <mergeCell ref="N86:O86"/>
    <mergeCell ref="N83:O83"/>
    <mergeCell ref="N84:O84"/>
    <mergeCell ref="P84:T84"/>
    <mergeCell ref="P86:T86"/>
    <mergeCell ref="N89:O89"/>
    <mergeCell ref="N90:O90"/>
    <mergeCell ref="N87:O87"/>
    <mergeCell ref="N88:O88"/>
    <mergeCell ref="P87:T87"/>
    <mergeCell ref="P88:T88"/>
    <mergeCell ref="P89:T89"/>
    <mergeCell ref="P90:T90"/>
    <mergeCell ref="N103:O103"/>
    <mergeCell ref="N104:O104"/>
    <mergeCell ref="P103:T103"/>
    <mergeCell ref="P104:T104"/>
    <mergeCell ref="P97:T97"/>
    <mergeCell ref="N98:O98"/>
    <mergeCell ref="P105:T105"/>
    <mergeCell ref="N112:O112"/>
    <mergeCell ref="P112:T112"/>
    <mergeCell ref="N106:O106"/>
    <mergeCell ref="P106:T106"/>
    <mergeCell ref="N116:O116"/>
    <mergeCell ref="N117:O117"/>
    <mergeCell ref="N114:O114"/>
    <mergeCell ref="N115:O115"/>
    <mergeCell ref="P114:T114"/>
    <mergeCell ref="P116:T116"/>
    <mergeCell ref="N120:O120"/>
    <mergeCell ref="N121:O121"/>
    <mergeCell ref="N118:O118"/>
    <mergeCell ref="N119:O119"/>
    <mergeCell ref="P118:T118"/>
    <mergeCell ref="P119:T119"/>
    <mergeCell ref="P120:T120"/>
    <mergeCell ref="P121:T121"/>
    <mergeCell ref="N105:O105"/>
    <mergeCell ref="N107:O107"/>
    <mergeCell ref="P107:T107"/>
    <mergeCell ref="N108:O108"/>
    <mergeCell ref="P108:T108"/>
    <mergeCell ref="N109:O109"/>
    <mergeCell ref="P109:T109"/>
    <mergeCell ref="N110:O110"/>
    <mergeCell ref="P110:T110"/>
    <mergeCell ref="N111:O111"/>
    <mergeCell ref="P111:T111"/>
    <mergeCell ref="N113:O113"/>
    <mergeCell ref="P113:T113"/>
    <mergeCell ref="N124:O124"/>
    <mergeCell ref="N125:O125"/>
    <mergeCell ref="N122:O122"/>
    <mergeCell ref="N123:O123"/>
    <mergeCell ref="P122:T122"/>
    <mergeCell ref="P124:T124"/>
    <mergeCell ref="P125:T125"/>
    <mergeCell ref="N128:O128"/>
    <mergeCell ref="N126:O126"/>
    <mergeCell ref="N127:O127"/>
    <mergeCell ref="P127:T127"/>
    <mergeCell ref="N129:O129"/>
    <mergeCell ref="P129:T129"/>
    <mergeCell ref="N130:O130"/>
    <mergeCell ref="N136:O136"/>
    <mergeCell ref="N137:O137"/>
    <mergeCell ref="N135:O135"/>
    <mergeCell ref="P135:T135"/>
    <mergeCell ref="P136:T136"/>
    <mergeCell ref="P137:T137"/>
    <mergeCell ref="N140:O140"/>
    <mergeCell ref="N141:O141"/>
    <mergeCell ref="N138:O138"/>
    <mergeCell ref="N139:O139"/>
    <mergeCell ref="P138:T138"/>
    <mergeCell ref="P139:T139"/>
    <mergeCell ref="P140:T140"/>
    <mergeCell ref="P141:T141"/>
    <mergeCell ref="N144:O144"/>
    <mergeCell ref="N145:O145"/>
    <mergeCell ref="N142:O142"/>
    <mergeCell ref="N143:O143"/>
    <mergeCell ref="P142:T142"/>
    <mergeCell ref="P143:T143"/>
    <mergeCell ref="P145:T145"/>
    <mergeCell ref="N148:O148"/>
    <mergeCell ref="N149:O149"/>
    <mergeCell ref="N146:O146"/>
    <mergeCell ref="N147:O147"/>
    <mergeCell ref="P147:T147"/>
    <mergeCell ref="P148:T148"/>
    <mergeCell ref="P149:T149"/>
    <mergeCell ref="N152:O152"/>
    <mergeCell ref="N153:O153"/>
    <mergeCell ref="N150:O150"/>
    <mergeCell ref="N151:O151"/>
    <mergeCell ref="P150:T150"/>
    <mergeCell ref="P151:T151"/>
    <mergeCell ref="P153:T153"/>
    <mergeCell ref="N156:O156"/>
    <mergeCell ref="N154:O154"/>
    <mergeCell ref="N155:O155"/>
    <mergeCell ref="P154:T154"/>
    <mergeCell ref="P156:T156"/>
    <mergeCell ref="N157:O157"/>
    <mergeCell ref="N158:O158"/>
    <mergeCell ref="P158:T158"/>
    <mergeCell ref="N159:O159"/>
    <mergeCell ref="N164:O164"/>
    <mergeCell ref="N165:O165"/>
    <mergeCell ref="P164:T164"/>
    <mergeCell ref="P165:T165"/>
    <mergeCell ref="N171:O171"/>
    <mergeCell ref="P169:T169"/>
    <mergeCell ref="P170:T170"/>
    <mergeCell ref="P171:T171"/>
    <mergeCell ref="N172:O172"/>
    <mergeCell ref="N166:O166"/>
    <mergeCell ref="N167:O167"/>
    <mergeCell ref="N168:O168"/>
    <mergeCell ref="N169:O169"/>
    <mergeCell ref="N170:O170"/>
    <mergeCell ref="P166:T166"/>
    <mergeCell ref="P167:T167"/>
    <mergeCell ref="P168:T168"/>
    <mergeCell ref="P172:T172"/>
    <mergeCell ref="N175:O175"/>
    <mergeCell ref="N176:O176"/>
    <mergeCell ref="N173:O173"/>
    <mergeCell ref="N174:O174"/>
    <mergeCell ref="N179:O179"/>
    <mergeCell ref="N180:O180"/>
    <mergeCell ref="N177:O177"/>
    <mergeCell ref="N178:O178"/>
    <mergeCell ref="P180:T180"/>
    <mergeCell ref="P174:T174"/>
    <mergeCell ref="P176:T176"/>
    <mergeCell ref="P177:T177"/>
    <mergeCell ref="P178:T178"/>
    <mergeCell ref="P179:T179"/>
    <mergeCell ref="N183:O183"/>
    <mergeCell ref="N184:O184"/>
    <mergeCell ref="N181:O181"/>
    <mergeCell ref="N182:O182"/>
    <mergeCell ref="P182:T182"/>
    <mergeCell ref="P183:T183"/>
    <mergeCell ref="N187:O187"/>
    <mergeCell ref="N185:O185"/>
    <mergeCell ref="N186:O186"/>
    <mergeCell ref="P185:T185"/>
    <mergeCell ref="P187:T187"/>
    <mergeCell ref="N188:O188"/>
    <mergeCell ref="N195:O195"/>
    <mergeCell ref="N196:O196"/>
    <mergeCell ref="N193:O193"/>
    <mergeCell ref="N194:O194"/>
    <mergeCell ref="P193:T193"/>
    <mergeCell ref="P194:T194"/>
    <mergeCell ref="P195:T195"/>
    <mergeCell ref="P196:T196"/>
    <mergeCell ref="N208:O208"/>
    <mergeCell ref="N209:O209"/>
    <mergeCell ref="N203:O203"/>
    <mergeCell ref="N207:O207"/>
    <mergeCell ref="P203:T203"/>
    <mergeCell ref="P204:T204"/>
    <mergeCell ref="P205:T205"/>
    <mergeCell ref="P206:T206"/>
    <mergeCell ref="P207:T207"/>
    <mergeCell ref="P209:T209"/>
    <mergeCell ref="N212:O212"/>
    <mergeCell ref="N213:O213"/>
    <mergeCell ref="N210:O210"/>
    <mergeCell ref="N211:O211"/>
    <mergeCell ref="P211:T211"/>
    <mergeCell ref="P212:T212"/>
    <mergeCell ref="P213:T213"/>
    <mergeCell ref="N216:O216"/>
    <mergeCell ref="N217:O217"/>
    <mergeCell ref="N214:O214"/>
    <mergeCell ref="N215:O215"/>
    <mergeCell ref="P214:T214"/>
    <mergeCell ref="P215:T215"/>
    <mergeCell ref="P217:T217"/>
    <mergeCell ref="N220:O220"/>
    <mergeCell ref="N221:O221"/>
    <mergeCell ref="N218:O218"/>
    <mergeCell ref="N219:O219"/>
    <mergeCell ref="P218:T218"/>
    <mergeCell ref="P220:T220"/>
    <mergeCell ref="N229:O229"/>
    <mergeCell ref="N222:O222"/>
    <mergeCell ref="N223:O223"/>
    <mergeCell ref="P222:T222"/>
    <mergeCell ref="N228:O228"/>
    <mergeCell ref="P228:T228"/>
    <mergeCell ref="P229:T229"/>
    <mergeCell ref="N232:O232"/>
    <mergeCell ref="N235:O235"/>
    <mergeCell ref="N230:O230"/>
    <mergeCell ref="N231:O231"/>
    <mergeCell ref="P230:T230"/>
    <mergeCell ref="P231:T231"/>
    <mergeCell ref="P232:T232"/>
    <mergeCell ref="P235:T235"/>
    <mergeCell ref="N238:O238"/>
    <mergeCell ref="N239:O239"/>
    <mergeCell ref="N236:O236"/>
    <mergeCell ref="N237:O237"/>
    <mergeCell ref="P236:T236"/>
    <mergeCell ref="P237:T237"/>
    <mergeCell ref="P238:T238"/>
    <mergeCell ref="N242:O242"/>
    <mergeCell ref="N243:O243"/>
    <mergeCell ref="N240:O240"/>
    <mergeCell ref="N241:O241"/>
    <mergeCell ref="P240:T240"/>
    <mergeCell ref="P242:T242"/>
    <mergeCell ref="P243:T243"/>
    <mergeCell ref="N233:O233"/>
    <mergeCell ref="P233:T233"/>
    <mergeCell ref="N234:O234"/>
    <mergeCell ref="P234:T234"/>
    <mergeCell ref="N246:O246"/>
    <mergeCell ref="N247:O247"/>
    <mergeCell ref="N244:O244"/>
    <mergeCell ref="N245:O245"/>
    <mergeCell ref="P244:T244"/>
    <mergeCell ref="P245:T245"/>
    <mergeCell ref="P246:T246"/>
    <mergeCell ref="N250:O250"/>
    <mergeCell ref="N251:O251"/>
    <mergeCell ref="N248:O248"/>
    <mergeCell ref="N249:O249"/>
    <mergeCell ref="P248:T248"/>
    <mergeCell ref="P249:T249"/>
    <mergeCell ref="P251:T251"/>
    <mergeCell ref="N254:O254"/>
    <mergeCell ref="N259:O259"/>
    <mergeCell ref="N252:O252"/>
    <mergeCell ref="N253:O253"/>
    <mergeCell ref="P253:T253"/>
    <mergeCell ref="P259:T259"/>
    <mergeCell ref="N262:O262"/>
    <mergeCell ref="N263:O263"/>
    <mergeCell ref="N260:O260"/>
    <mergeCell ref="N261:O261"/>
    <mergeCell ref="P260:T260"/>
    <mergeCell ref="P261:T261"/>
    <mergeCell ref="P262:T262"/>
    <mergeCell ref="P263:T263"/>
    <mergeCell ref="N266:O266"/>
    <mergeCell ref="N267:O267"/>
    <mergeCell ref="N264:O264"/>
    <mergeCell ref="N265:O265"/>
    <mergeCell ref="P264:T264"/>
    <mergeCell ref="P265:T265"/>
    <mergeCell ref="P266:T266"/>
    <mergeCell ref="P267:T267"/>
    <mergeCell ref="N270:O270"/>
    <mergeCell ref="N271:O271"/>
    <mergeCell ref="N268:O268"/>
    <mergeCell ref="N269:O269"/>
    <mergeCell ref="P269:T269"/>
    <mergeCell ref="P271:T271"/>
    <mergeCell ref="N274:O274"/>
    <mergeCell ref="N275:O275"/>
    <mergeCell ref="N272:O272"/>
    <mergeCell ref="N273:O273"/>
    <mergeCell ref="P272:T272"/>
    <mergeCell ref="P273:T273"/>
    <mergeCell ref="P274:T274"/>
    <mergeCell ref="P275:T275"/>
    <mergeCell ref="N278:O278"/>
    <mergeCell ref="N279:O279"/>
    <mergeCell ref="N276:O276"/>
    <mergeCell ref="N277:O277"/>
    <mergeCell ref="P277:T277"/>
    <mergeCell ref="P278:T278"/>
    <mergeCell ref="N282:O282"/>
    <mergeCell ref="N280:O280"/>
    <mergeCell ref="N281:O281"/>
    <mergeCell ref="P280:T280"/>
    <mergeCell ref="P282:T282"/>
    <mergeCell ref="N283:O283"/>
    <mergeCell ref="N290:O290"/>
    <mergeCell ref="N291:O291"/>
    <mergeCell ref="N288:O288"/>
    <mergeCell ref="N289:O289"/>
    <mergeCell ref="P288:T288"/>
    <mergeCell ref="P289:T289"/>
    <mergeCell ref="P290:T290"/>
    <mergeCell ref="P291:T291"/>
    <mergeCell ref="N294:O294"/>
    <mergeCell ref="N295:O295"/>
    <mergeCell ref="N292:O292"/>
    <mergeCell ref="N293:O293"/>
    <mergeCell ref="P292:T292"/>
    <mergeCell ref="P293:T293"/>
    <mergeCell ref="P294:T294"/>
    <mergeCell ref="P295:T295"/>
    <mergeCell ref="N296:O296"/>
    <mergeCell ref="N297:O297"/>
    <mergeCell ref="P296:T296"/>
    <mergeCell ref="P298:T298"/>
    <mergeCell ref="N302:O302"/>
    <mergeCell ref="N303:O303"/>
    <mergeCell ref="N300:O300"/>
    <mergeCell ref="N301:O301"/>
    <mergeCell ref="P300:T300"/>
    <mergeCell ref="P301:T301"/>
    <mergeCell ref="P302:T302"/>
    <mergeCell ref="P303:T303"/>
    <mergeCell ref="N298:O298"/>
    <mergeCell ref="N299:O299"/>
    <mergeCell ref="N306:O306"/>
    <mergeCell ref="N307:O307"/>
    <mergeCell ref="N304:O304"/>
    <mergeCell ref="N305:O305"/>
    <mergeCell ref="P304:T304"/>
    <mergeCell ref="P306:T306"/>
    <mergeCell ref="P307:T307"/>
    <mergeCell ref="N317:O317"/>
    <mergeCell ref="P317:T317"/>
    <mergeCell ref="P318:T318"/>
    <mergeCell ref="P319:T319"/>
    <mergeCell ref="P329:T329"/>
    <mergeCell ref="P330:T330"/>
    <mergeCell ref="P331:T331"/>
    <mergeCell ref="N322:O322"/>
    <mergeCell ref="N323:O323"/>
    <mergeCell ref="N320:O320"/>
    <mergeCell ref="N321:O321"/>
    <mergeCell ref="P320:T320"/>
    <mergeCell ref="P321:T321"/>
    <mergeCell ref="P322:T322"/>
    <mergeCell ref="P323:T323"/>
    <mergeCell ref="N326:O326"/>
    <mergeCell ref="N335:O335"/>
    <mergeCell ref="N332:O332"/>
    <mergeCell ref="N333:O333"/>
    <mergeCell ref="P332:T332"/>
    <mergeCell ref="P333:T333"/>
    <mergeCell ref="P335:T335"/>
    <mergeCell ref="N338:O338"/>
    <mergeCell ref="N206:O206"/>
    <mergeCell ref="N204:O204"/>
    <mergeCell ref="N205:O205"/>
    <mergeCell ref="N336:O336"/>
    <mergeCell ref="N337:O337"/>
    <mergeCell ref="N334:O334"/>
    <mergeCell ref="N327:O327"/>
    <mergeCell ref="N324:O324"/>
    <mergeCell ref="N325:O325"/>
    <mergeCell ref="P324:T324"/>
    <mergeCell ref="P325:T325"/>
    <mergeCell ref="P327:T327"/>
    <mergeCell ref="N330:O330"/>
    <mergeCell ref="N331:O331"/>
    <mergeCell ref="N328:O328"/>
    <mergeCell ref="N329:O329"/>
    <mergeCell ref="N310:O310"/>
    <mergeCell ref="N308:O308"/>
    <mergeCell ref="N309:O309"/>
    <mergeCell ref="P309:T309"/>
    <mergeCell ref="N311:O311"/>
    <mergeCell ref="P311:T311"/>
    <mergeCell ref="N312:O312"/>
    <mergeCell ref="N318:O318"/>
    <mergeCell ref="N319:O319"/>
    <mergeCell ref="N1279:O1279"/>
    <mergeCell ref="P1279:T1279"/>
    <mergeCell ref="N1280:O1280"/>
    <mergeCell ref="P1280:T1280"/>
    <mergeCell ref="N1281:O1281"/>
    <mergeCell ref="P1281:T1281"/>
    <mergeCell ref="N1282:O1282"/>
    <mergeCell ref="P1282:T1282"/>
    <mergeCell ref="N1283:O1283"/>
    <mergeCell ref="P1283:T1283"/>
    <mergeCell ref="N1284:O1284"/>
    <mergeCell ref="P1284:T1284"/>
    <mergeCell ref="N1285:O1285"/>
    <mergeCell ref="P1285:T1285"/>
    <mergeCell ref="N1286:O1286"/>
    <mergeCell ref="P1286:T1286"/>
    <mergeCell ref="N1287:O1287"/>
    <mergeCell ref="P1287:T1287"/>
    <mergeCell ref="N1288:O1288"/>
    <mergeCell ref="P1288:T1288"/>
    <mergeCell ref="N1289:O1289"/>
    <mergeCell ref="P1289:T1289"/>
    <mergeCell ref="N1290:O1290"/>
    <mergeCell ref="P1290:T1290"/>
    <mergeCell ref="N1291:O1291"/>
    <mergeCell ref="P1291:T1291"/>
    <mergeCell ref="N1292:O1292"/>
    <mergeCell ref="P1292:T1292"/>
    <mergeCell ref="N1293:O1293"/>
    <mergeCell ref="P1293:T1293"/>
    <mergeCell ref="N1294:O1294"/>
    <mergeCell ref="P1294:T1294"/>
    <mergeCell ref="N1295:O1295"/>
    <mergeCell ref="P1295:T1295"/>
    <mergeCell ref="N1296:O1296"/>
    <mergeCell ref="N1307:O1307"/>
    <mergeCell ref="N1308:O1308"/>
    <mergeCell ref="P1308:T1308"/>
    <mergeCell ref="N1309:O1309"/>
    <mergeCell ref="N1310:O1310"/>
    <mergeCell ref="P1310:T1310"/>
    <mergeCell ref="N1311:O1311"/>
    <mergeCell ref="N1297:O1297"/>
    <mergeCell ref="P1297:T1297"/>
    <mergeCell ref="N1298:O1298"/>
    <mergeCell ref="N1299:O1299"/>
    <mergeCell ref="P1299:T1299"/>
    <mergeCell ref="N1300:O1300"/>
    <mergeCell ref="P1300:T1300"/>
    <mergeCell ref="N1301:O1301"/>
    <mergeCell ref="P1301:T1301"/>
    <mergeCell ref="N1302:O1302"/>
    <mergeCell ref="P1302:T1302"/>
    <mergeCell ref="N1303:O1303"/>
    <mergeCell ref="P1303:T1303"/>
    <mergeCell ref="N1304:O1304"/>
    <mergeCell ref="N1305:O1305"/>
    <mergeCell ref="P1305:T1305"/>
    <mergeCell ref="N1306:O1306"/>
    <mergeCell ref="P1306:T1306"/>
    <mergeCell ref="N44:O44"/>
    <mergeCell ref="P44:T44"/>
    <mergeCell ref="N45:O45"/>
    <mergeCell ref="P45:T45"/>
    <mergeCell ref="N47:O47"/>
    <mergeCell ref="P47:T47"/>
    <mergeCell ref="N48:O48"/>
    <mergeCell ref="P48:T48"/>
    <mergeCell ref="N49:O49"/>
    <mergeCell ref="P49:T49"/>
    <mergeCell ref="N50:O50"/>
    <mergeCell ref="P50:T50"/>
    <mergeCell ref="N52:O52"/>
    <mergeCell ref="P52:T52"/>
    <mergeCell ref="N53:O53"/>
    <mergeCell ref="P53:T53"/>
    <mergeCell ref="N46:O46"/>
    <mergeCell ref="P46:T46"/>
    <mergeCell ref="N51:O51"/>
    <mergeCell ref="P51:T51"/>
  </mergeCells>
  <dataValidations disablePrompts="1" count="1">
    <dataValidation type="list" allowBlank="1" showInputMessage="1" showErrorMessage="1" sqref="M8:M28" xr:uid="{00000000-0002-0000-0600-000000000000}"/>
  </dataValidations>
  <hyperlinks>
    <hyperlink ref="V66" location="SUMMARY" display="TO SUMMARY" xr:uid="{00000000-0004-0000-0600-000000000000}"/>
    <hyperlink ref="V94" location="SUMMARY" display="TO SUMMARY" xr:uid="{00000000-0004-0000-0600-000001000000}"/>
    <hyperlink ref="C9" location="ALT.2" display="ALT.2" xr:uid="{00000000-0004-0000-0600-000002000000}"/>
    <hyperlink ref="C8" location="ALT.1" display="ALT.1" xr:uid="{00000000-0004-0000-0600-000003000000}"/>
    <hyperlink ref="V126" location="SUMMARY" display="TO SUMMARY" xr:uid="{00000000-0004-0000-0600-000004000000}"/>
    <hyperlink ref="V155" location="SUMMARY" display="TO SUMMARY" xr:uid="{00000000-0004-0000-0600-000005000000}"/>
    <hyperlink ref="C10" location="ALT.3" display="ALT.3" xr:uid="{00000000-0004-0000-0600-000006000000}"/>
    <hyperlink ref="C11" location="ALT.4" display="ALT.4" xr:uid="{00000000-0004-0000-0600-000007000000}"/>
    <hyperlink ref="V184" location="SUMMARY" display="TO SUMMARY" xr:uid="{00000000-0004-0000-0600-000008000000}"/>
    <hyperlink ref="V219" location="SUMMARY" display="TO SUMMARY" xr:uid="{00000000-0004-0000-0600-000009000000}"/>
    <hyperlink ref="V250" location="SUMMARY" display="TO SUMMARY" xr:uid="{00000000-0004-0000-0600-00000A000000}"/>
    <hyperlink ref="V279" location="SUMMARY" display="TO SUMMARY" xr:uid="{00000000-0004-0000-0600-00000B000000}"/>
    <hyperlink ref="C12" location="ALT.5" display="ALT.5" xr:uid="{00000000-0004-0000-0600-00000C000000}"/>
    <hyperlink ref="C13" location="ALT.6" display="ALT.6" xr:uid="{00000000-0004-0000-0600-00000D000000}"/>
    <hyperlink ref="C14" location="ALT.7" display="ALT.7" xr:uid="{00000000-0004-0000-0600-00000E000000}"/>
    <hyperlink ref="C15" location="ALT.8" display="ALT.8" xr:uid="{00000000-0004-0000-0600-00000F000000}"/>
    <hyperlink ref="V308" location="SUMMARY" display="TO SUMMARY" xr:uid="{00000000-0004-0000-0600-000010000000}"/>
    <hyperlink ref="V337" location="SUMMARY" display="TO SUMMARY" xr:uid="{00000000-0004-0000-0600-000011000000}"/>
    <hyperlink ref="V366" location="SUMMARY" display="TO SUMMARY" xr:uid="{00000000-0004-0000-0600-000012000000}"/>
    <hyperlink ref="V395" location="SUMMARY" display="TO SUMMARY" xr:uid="{00000000-0004-0000-0600-000013000000}"/>
    <hyperlink ref="V426" location="SUMMARY" display="TO SUMMARY" xr:uid="{00000000-0004-0000-0600-000014000000}"/>
    <hyperlink ref="V459" location="SUMMARY" display="TO SUMMARY" xr:uid="{00000000-0004-0000-0600-000015000000}"/>
    <hyperlink ref="V491" location="SUMMARY" display="TO SUMMARY" xr:uid="{00000000-0004-0000-0600-000016000000}"/>
    <hyperlink ref="V520" location="SUMMARY" display="TO SUMMARY" xr:uid="{00000000-0004-0000-0600-000017000000}"/>
    <hyperlink ref="C16" location="ALT.9" display="ALT.9" xr:uid="{00000000-0004-0000-0600-000018000000}"/>
    <hyperlink ref="C17" location="ALT.10" display="ALT.10" xr:uid="{00000000-0004-0000-0600-000019000000}"/>
    <hyperlink ref="C18" location="ALT.11" display="ALT.11" xr:uid="{00000000-0004-0000-0600-00001A000000}"/>
    <hyperlink ref="C19" location="ALT.12" display="ALT.12" xr:uid="{00000000-0004-0000-0600-00001B000000}"/>
    <hyperlink ref="C20" location="ALT.13" display="ALT.13" xr:uid="{00000000-0004-0000-0600-00001C000000}"/>
    <hyperlink ref="C21" location="ALT.14" display="ALT.14" xr:uid="{00000000-0004-0000-0600-00001D000000}"/>
    <hyperlink ref="C22" location="ALT.15" display="ALT.15" xr:uid="{00000000-0004-0000-0600-00001E000000}"/>
    <hyperlink ref="C23" location="ALT.16" display="ALT.16" xr:uid="{00000000-0004-0000-0600-00001F000000}"/>
    <hyperlink ref="V549" location="SUMMARY" display="TO SUMMARY" xr:uid="{00000000-0004-0000-0600-000020000000}"/>
    <hyperlink ref="V583" location="SUMMARY" display="TO SUMMARY" xr:uid="{00000000-0004-0000-0600-000021000000}"/>
    <hyperlink ref="V612" location="SUMMARY" display="TO SUMMARY" xr:uid="{00000000-0004-0000-0600-000022000000}"/>
    <hyperlink ref="V641" location="SUMMARY" display="TO SUMMARY" xr:uid="{00000000-0004-0000-0600-000023000000}"/>
    <hyperlink ref="C24" location="ALT.17" display="ALT.17" xr:uid="{00000000-0004-0000-0600-000024000000}"/>
    <hyperlink ref="C25" location="ALT.18" display="ALT.18" xr:uid="{00000000-0004-0000-0600-000025000000}"/>
    <hyperlink ref="C26" location="ALT.19" display="ALT.19" xr:uid="{00000000-0004-0000-0600-000026000000}"/>
    <hyperlink ref="C27" location="ALT.20" display="ALT.20" xr:uid="{00000000-0004-0000-0600-000027000000}"/>
    <hyperlink ref="V670" location="SUMMARY" display="TO SUMMARY" xr:uid="{1C0B00B7-3F3F-462D-864D-DC7AE320D105}"/>
    <hyperlink ref="V699" location="SUMMARY" display="TO SUMMARY" xr:uid="{53CD1C85-CF41-4F76-9A6C-2940A32E82CF}"/>
    <hyperlink ref="V728" location="SUMMARY" display="TO SUMMARY" xr:uid="{CEDD1A74-A0AF-49B4-A133-1846862ED438}"/>
    <hyperlink ref="V756" location="SUMMARY" display="TO SUMMARY" xr:uid="{E498641C-3D02-42D4-8C47-F1D7F5338EF1}"/>
    <hyperlink ref="V785" location="SUMMARY" display="TO SUMMARY" xr:uid="{495A875D-8D08-4D1E-AA2F-148252113947}"/>
    <hyperlink ref="V814" location="SUMMARY" display="TO SUMMARY" xr:uid="{79ACD2A1-57B4-4152-BA6C-7B3327D5FDD3}"/>
    <hyperlink ref="V843" location="SUMMARY" display="TO SUMMARY" xr:uid="{EE2FA2AE-BBA2-4848-8628-68D3E0098EC5}"/>
    <hyperlink ref="V872" location="SUMMARY" display="TO SUMMARY" xr:uid="{6100A46B-ECB5-4BF7-9D8A-596187D19BCE}"/>
    <hyperlink ref="V901" location="SUMMARY" display="TO SUMMARY" xr:uid="{23B12D8C-4A20-4CFE-BB3F-946995FAB26A}"/>
    <hyperlink ref="C28" location="ALT.20" display="ALT.20" xr:uid="{8A0C6B9D-3268-4CA3-A327-B6640F131702}"/>
    <hyperlink ref="V930" location="SUMMARY" display="TO SUMMARY" xr:uid="{18A872DE-7499-44EA-BE4D-A744DE4B4975}"/>
    <hyperlink ref="V963" location="SUMMARY" display="TO SUMMARY" xr:uid="{CAAD6482-41B8-4EA0-8743-A7F138963216}"/>
    <hyperlink ref="V993" location="SUMMARY" display="TO SUMMARY" xr:uid="{F5ED1593-F5B0-412D-ABDE-40A643208B49}"/>
    <hyperlink ref="V1022" location="SUMMARY" display="TO SUMMARY" xr:uid="{52957891-BF83-4CD0-9861-78B723B45B78}"/>
    <hyperlink ref="V1059" location="SUMMARY" display="TO SUMMARY" xr:uid="{210EAE5C-C7BF-4F73-93A3-52618B9EC820}"/>
    <hyperlink ref="V1088" location="SUMMARY" display="TO SUMMARY" xr:uid="{A8D14B74-A71F-4823-AA14-17B2EA8ACDD0}"/>
    <hyperlink ref="V1117" location="SUMMARY" display="TO SUMMARY" xr:uid="{3A14EA3F-7D09-40B4-BCD8-71118E9DA70E}"/>
    <hyperlink ref="V1146" location="SUMMARY" display="TO SUMMARY" xr:uid="{7D7D7F80-CC12-4EFA-BA4B-1DC60E47A937}"/>
    <hyperlink ref="V1175" location="SUMMARY" display="TO SUMMARY" xr:uid="{C20C5B47-A43C-4927-BEC5-E92316590BB4}"/>
    <hyperlink ref="V1204" location="SUMMARY" display="TO SUMMARY" xr:uid="{EC056107-FAE5-4471-9BA7-6433539D0E49}"/>
    <hyperlink ref="V1233" location="SUMMARY" display="TO SUMMARY" xr:uid="{4B4367F8-FCA2-40AB-AE8F-6203A6BDE2CA}"/>
    <hyperlink ref="V1270" location="SUMMARY" display="TO SUMMARY" xr:uid="{64B1E431-F267-4917-9BB5-BFBE55612735}"/>
    <hyperlink ref="V1307" location="SUMMARY" display="TO SUMMARY" xr:uid="{07A3C00A-21D4-4F14-ACC4-66C8EE70C530}"/>
  </hyperlinks>
  <pageMargins left="0.7" right="0.7" top="0.89249999999999996" bottom="0.75" header="0.3" footer="0.3"/>
  <pageSetup scale="48" fitToHeight="0" orientation="landscape" r:id="rId1"/>
  <headerFooter>
    <oddHeader>&amp;L&amp;G&amp;R&amp;"Calibri,Bold"&amp;20&amp;U&amp;K559CBEATTACHMENT #5:
 PA ALTERNATES/VE</oddHeader>
    <oddFooter>&amp;C&amp;P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F8F32-6F8B-4C70-B7D2-A3AD0943D6DE}">
  <sheetPr>
    <pageSetUpPr fitToPage="1"/>
  </sheetPr>
  <dimension ref="A1:AX1002"/>
  <sheetViews>
    <sheetView topLeftCell="A4" zoomScale="90" zoomScaleNormal="90" workbookViewId="0">
      <selection activeCell="E5" sqref="E5"/>
    </sheetView>
  </sheetViews>
  <sheetFormatPr defaultRowHeight="13"/>
  <cols>
    <col min="1" max="3" width="4.6328125" customWidth="1"/>
    <col min="4" max="4" width="3.6328125" style="133" customWidth="1"/>
    <col min="5" max="7" width="8.7265625" style="134"/>
    <col min="8" max="8" width="12.90625" style="134" bestFit="1" customWidth="1"/>
    <col min="9" max="9" width="8.7265625" style="134"/>
    <col min="10" max="10" width="10.54296875" style="134" bestFit="1" customWidth="1"/>
    <col min="11" max="11" width="13.6328125" style="134" bestFit="1" customWidth="1"/>
    <col min="12" max="12" width="8.7265625" style="134"/>
    <col min="13" max="13" width="10.6328125" style="132" customWidth="1"/>
    <col min="14" max="14" width="8.7265625" style="134"/>
    <col min="15" max="15" width="22.36328125" style="134" customWidth="1"/>
    <col min="16" max="16" width="21" style="134" customWidth="1"/>
    <col min="17" max="17" width="32.90625" style="134" customWidth="1"/>
  </cols>
  <sheetData>
    <row r="1" spans="4:17" hidden="1"/>
    <row r="2" spans="4:17" hidden="1"/>
    <row r="3" spans="4:17" hidden="1"/>
    <row r="4" spans="4:17">
      <c r="E4" s="450" t="s">
        <v>134</v>
      </c>
      <c r="F4" s="450"/>
      <c r="G4" s="450"/>
      <c r="H4" s="450"/>
      <c r="I4" s="135"/>
      <c r="J4" s="135"/>
      <c r="K4" s="135"/>
    </row>
    <row r="5" spans="4:17">
      <c r="E5" s="136" t="s">
        <v>135</v>
      </c>
      <c r="F5" s="137" t="s">
        <v>136</v>
      </c>
      <c r="G5" s="394" t="s">
        <v>137</v>
      </c>
      <c r="H5" s="138" t="s">
        <v>138</v>
      </c>
      <c r="I5" s="139"/>
      <c r="J5" s="139"/>
      <c r="K5" s="139"/>
    </row>
    <row r="6" spans="4:17">
      <c r="E6" s="140" t="s">
        <v>139</v>
      </c>
      <c r="F6" s="141" t="s">
        <v>140</v>
      </c>
      <c r="G6" s="141" t="s">
        <v>141</v>
      </c>
      <c r="H6" s="142" t="s">
        <v>142</v>
      </c>
      <c r="I6" s="139"/>
      <c r="J6" s="139"/>
      <c r="K6" s="139"/>
    </row>
    <row r="7" spans="4:17">
      <c r="E7" s="143" t="s">
        <v>143</v>
      </c>
      <c r="F7" s="141" t="s">
        <v>144</v>
      </c>
      <c r="G7" s="141" t="s">
        <v>145</v>
      </c>
      <c r="H7" s="142" t="s">
        <v>146</v>
      </c>
      <c r="I7" s="139"/>
      <c r="J7" s="139"/>
      <c r="K7" s="139"/>
    </row>
    <row r="8" spans="4:17">
      <c r="E8" s="144" t="s">
        <v>147</v>
      </c>
      <c r="F8" s="145" t="s">
        <v>148</v>
      </c>
      <c r="G8" s="145" t="s">
        <v>149</v>
      </c>
      <c r="H8" s="146" t="s">
        <v>150</v>
      </c>
      <c r="I8" s="139"/>
      <c r="J8" s="139"/>
      <c r="K8" s="139"/>
    </row>
    <row r="9" spans="4:17" ht="13.5" thickBot="1"/>
    <row r="10" spans="4:17" ht="50" customHeight="1" thickBot="1">
      <c r="E10" s="464" t="s">
        <v>870</v>
      </c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6"/>
    </row>
    <row r="11" spans="4:17" s="3" customFormat="1" ht="14.5">
      <c r="D11" s="155"/>
      <c r="E11" s="168" t="str">
        <f>RECAP!F11</f>
        <v xml:space="preserve">GENERAL REQUIREMENTS </v>
      </c>
      <c r="F11" s="169"/>
      <c r="G11" s="168"/>
      <c r="H11" s="168"/>
      <c r="I11" s="168"/>
      <c r="J11" s="168"/>
      <c r="K11" s="168"/>
      <c r="L11" s="163"/>
      <c r="M11" s="164"/>
      <c r="N11" s="165"/>
      <c r="O11" s="166"/>
      <c r="P11" s="167"/>
      <c r="Q11" s="167"/>
    </row>
    <row r="12" spans="4:17" s="5" customFormat="1" ht="14.5">
      <c r="D12" s="170"/>
      <c r="E12" s="171"/>
      <c r="F12" s="172"/>
      <c r="G12" s="172" t="s">
        <v>13</v>
      </c>
      <c r="H12" s="172"/>
      <c r="I12" s="172"/>
      <c r="J12" s="172"/>
      <c r="K12" s="172"/>
      <c r="L12" s="173"/>
      <c r="M12" s="174" t="s">
        <v>23</v>
      </c>
      <c r="N12" s="175" t="s">
        <v>151</v>
      </c>
      <c r="O12" s="176" t="s">
        <v>152</v>
      </c>
      <c r="P12" s="415" t="s">
        <v>153</v>
      </c>
      <c r="Q12" s="416" t="s">
        <v>17</v>
      </c>
    </row>
    <row r="13" spans="4:17" s="3" customFormat="1" ht="14.5">
      <c r="D13" s="155"/>
      <c r="E13" s="179"/>
      <c r="F13" s="180"/>
      <c r="G13" s="180"/>
      <c r="H13" s="180"/>
      <c r="I13" s="180"/>
      <c r="J13" s="180"/>
      <c r="K13" s="180"/>
      <c r="L13" s="181"/>
      <c r="M13" s="182"/>
      <c r="N13" s="183"/>
      <c r="O13" s="184"/>
      <c r="P13" s="417"/>
      <c r="Q13" s="417"/>
    </row>
    <row r="14" spans="4:17" s="3" customFormat="1" ht="14.5">
      <c r="D14" s="155"/>
      <c r="E14" s="202" t="s">
        <v>156</v>
      </c>
      <c r="F14" s="197"/>
      <c r="G14" s="197"/>
      <c r="H14" s="197"/>
      <c r="I14" s="197"/>
      <c r="J14" s="197"/>
      <c r="K14" s="197"/>
      <c r="L14" s="198"/>
      <c r="M14" s="199"/>
      <c r="N14" s="200"/>
      <c r="O14" s="201"/>
      <c r="P14" s="418">
        <f>M14*O14</f>
        <v>0</v>
      </c>
      <c r="Q14" s="421"/>
    </row>
    <row r="15" spans="4:17" s="3" customFormat="1" ht="14.5">
      <c r="D15" s="155"/>
      <c r="E15" s="203" t="s">
        <v>157</v>
      </c>
      <c r="F15" s="197"/>
      <c r="G15" s="197"/>
      <c r="H15" s="197"/>
      <c r="I15" s="197" t="s">
        <v>158</v>
      </c>
      <c r="J15" s="197"/>
      <c r="K15" s="197"/>
      <c r="L15" s="198"/>
      <c r="M15" s="199">
        <v>2365</v>
      </c>
      <c r="N15" s="200" t="s">
        <v>7</v>
      </c>
      <c r="O15" s="204">
        <v>10</v>
      </c>
      <c r="P15" s="418">
        <f t="shared" ref="P15:P40" si="0">M15*O15</f>
        <v>23650</v>
      </c>
      <c r="Q15" s="421"/>
    </row>
    <row r="16" spans="4:17" s="3" customFormat="1" ht="14.5">
      <c r="D16" s="155"/>
      <c r="E16" s="203" t="s">
        <v>159</v>
      </c>
      <c r="F16" s="197"/>
      <c r="G16" s="197"/>
      <c r="H16" s="197"/>
      <c r="I16" s="197"/>
      <c r="J16" s="197"/>
      <c r="K16" s="197"/>
      <c r="L16" s="198"/>
      <c r="M16" s="199"/>
      <c r="N16" s="200" t="s">
        <v>160</v>
      </c>
      <c r="O16" s="201">
        <v>50</v>
      </c>
      <c r="P16" s="418">
        <f t="shared" si="0"/>
        <v>0</v>
      </c>
      <c r="Q16" s="421"/>
    </row>
    <row r="17" spans="4:17" s="3" customFormat="1" ht="14.5">
      <c r="D17" s="155"/>
      <c r="E17" s="203" t="s">
        <v>161</v>
      </c>
      <c r="F17" s="197"/>
      <c r="G17" s="197"/>
      <c r="H17" s="197"/>
      <c r="I17" s="197"/>
      <c r="J17" s="197"/>
      <c r="K17" s="197"/>
      <c r="L17" s="198"/>
      <c r="M17" s="199">
        <v>0</v>
      </c>
      <c r="N17" s="200" t="s">
        <v>162</v>
      </c>
      <c r="O17" s="201">
        <v>1500</v>
      </c>
      <c r="P17" s="418">
        <f t="shared" si="0"/>
        <v>0</v>
      </c>
      <c r="Q17" s="421"/>
    </row>
    <row r="18" spans="4:17" s="3" customFormat="1" ht="14.5">
      <c r="D18" s="155"/>
      <c r="E18" s="203" t="s">
        <v>163</v>
      </c>
      <c r="F18" s="197"/>
      <c r="G18" s="197"/>
      <c r="H18" s="197"/>
      <c r="I18" s="205"/>
      <c r="J18" s="197"/>
      <c r="K18" s="197"/>
      <c r="L18" s="198"/>
      <c r="M18" s="199"/>
      <c r="N18" s="200" t="s">
        <v>164</v>
      </c>
      <c r="O18" s="201">
        <f>6*750</f>
        <v>4500</v>
      </c>
      <c r="P18" s="418">
        <f t="shared" si="0"/>
        <v>0</v>
      </c>
      <c r="Q18" s="421"/>
    </row>
    <row r="19" spans="4:17" s="3" customFormat="1" ht="14.5">
      <c r="D19" s="155"/>
      <c r="E19" s="196"/>
      <c r="F19" s="197"/>
      <c r="G19" s="197"/>
      <c r="H19" s="197"/>
      <c r="I19" s="197"/>
      <c r="J19" s="197"/>
      <c r="K19" s="197"/>
      <c r="L19" s="198"/>
      <c r="M19" s="199"/>
      <c r="N19" s="200"/>
      <c r="O19" s="201"/>
      <c r="P19" s="418">
        <f t="shared" si="0"/>
        <v>0</v>
      </c>
      <c r="Q19" s="421"/>
    </row>
    <row r="20" spans="4:17" s="3" customFormat="1" ht="14.5">
      <c r="D20" s="155"/>
      <c r="E20" s="202" t="s">
        <v>165</v>
      </c>
      <c r="F20" s="197"/>
      <c r="G20" s="197"/>
      <c r="H20" s="197"/>
      <c r="I20" s="197"/>
      <c r="J20" s="197"/>
      <c r="K20" s="197"/>
      <c r="L20" s="198"/>
      <c r="M20" s="206"/>
      <c r="N20" s="200"/>
      <c r="O20" s="201"/>
      <c r="P20" s="418">
        <f t="shared" si="0"/>
        <v>0</v>
      </c>
      <c r="Q20" s="421"/>
    </row>
    <row r="21" spans="4:17" s="3" customFormat="1" ht="14.5">
      <c r="D21" s="155"/>
      <c r="E21" s="203" t="s">
        <v>166</v>
      </c>
      <c r="F21" s="197"/>
      <c r="G21" s="197"/>
      <c r="H21" s="197"/>
      <c r="I21" s="205">
        <v>3</v>
      </c>
      <c r="J21" s="197" t="s">
        <v>167</v>
      </c>
      <c r="K21" s="197"/>
      <c r="L21" s="198"/>
      <c r="M21" s="199">
        <v>36.514285714285712</v>
      </c>
      <c r="N21" s="200" t="s">
        <v>0</v>
      </c>
      <c r="O21" s="201">
        <v>600</v>
      </c>
      <c r="P21" s="418">
        <f t="shared" si="0"/>
        <v>21908.571428571428</v>
      </c>
      <c r="Q21" s="421"/>
    </row>
    <row r="22" spans="4:17" s="3" customFormat="1" ht="14.5">
      <c r="D22" s="155"/>
      <c r="E22" s="207" t="s">
        <v>168</v>
      </c>
      <c r="F22" s="208"/>
      <c r="G22" s="208"/>
      <c r="H22" s="208"/>
      <c r="I22" s="208">
        <v>1.5</v>
      </c>
      <c r="J22" s="208" t="s">
        <v>169</v>
      </c>
      <c r="K22" s="208"/>
      <c r="L22" s="209"/>
      <c r="M22" s="199">
        <v>91.285714285714278</v>
      </c>
      <c r="N22" s="210" t="s">
        <v>170</v>
      </c>
      <c r="O22" s="211">
        <v>650</v>
      </c>
      <c r="P22" s="418">
        <f t="shared" si="0"/>
        <v>59335.714285714283</v>
      </c>
      <c r="Q22" s="421"/>
    </row>
    <row r="23" spans="4:17" s="3" customFormat="1" ht="14.5">
      <c r="D23" s="155"/>
      <c r="E23" s="203" t="s">
        <v>171</v>
      </c>
      <c r="F23" s="197"/>
      <c r="G23" s="197" t="s">
        <v>172</v>
      </c>
      <c r="H23" s="197"/>
      <c r="I23" s="197"/>
      <c r="J23" s="197"/>
      <c r="K23" s="197"/>
      <c r="L23" s="198"/>
      <c r="M23" s="199">
        <v>46290</v>
      </c>
      <c r="N23" s="200" t="s">
        <v>5</v>
      </c>
      <c r="O23" s="204">
        <v>0.5</v>
      </c>
      <c r="P23" s="418">
        <f t="shared" si="0"/>
        <v>23145</v>
      </c>
      <c r="Q23" s="421"/>
    </row>
    <row r="24" spans="4:17" s="3" customFormat="1" ht="14.5">
      <c r="D24" s="155"/>
      <c r="E24" s="203" t="s">
        <v>171</v>
      </c>
      <c r="F24" s="197"/>
      <c r="G24" s="197" t="s">
        <v>173</v>
      </c>
      <c r="H24" s="197"/>
      <c r="I24" s="197"/>
      <c r="J24" s="197"/>
      <c r="K24" s="197"/>
      <c r="L24" s="198"/>
      <c r="M24" s="199">
        <v>3633</v>
      </c>
      <c r="N24" s="200" t="s">
        <v>5</v>
      </c>
      <c r="O24" s="204">
        <v>0.35</v>
      </c>
      <c r="P24" s="418">
        <f t="shared" si="0"/>
        <v>1271.55</v>
      </c>
      <c r="Q24" s="421"/>
    </row>
    <row r="25" spans="4:17" s="3" customFormat="1" ht="14.5">
      <c r="D25" s="155"/>
      <c r="E25" s="203"/>
      <c r="F25" s="197"/>
      <c r="G25" s="197"/>
      <c r="H25" s="197"/>
      <c r="I25" s="197"/>
      <c r="J25" s="197"/>
      <c r="K25" s="197"/>
      <c r="L25" s="198"/>
      <c r="M25" s="206"/>
      <c r="N25" s="200"/>
      <c r="O25" s="201"/>
      <c r="P25" s="418">
        <f t="shared" si="0"/>
        <v>0</v>
      </c>
      <c r="Q25" s="421"/>
    </row>
    <row r="26" spans="4:17" s="3" customFormat="1" ht="14.5">
      <c r="D26" s="155"/>
      <c r="E26" s="203"/>
      <c r="F26" s="197"/>
      <c r="G26" s="197"/>
      <c r="H26" s="197"/>
      <c r="I26" s="197"/>
      <c r="J26" s="197"/>
      <c r="K26" s="197"/>
      <c r="L26" s="198"/>
      <c r="M26" s="206"/>
      <c r="N26" s="200"/>
      <c r="O26" s="201"/>
      <c r="P26" s="418">
        <f t="shared" si="0"/>
        <v>0</v>
      </c>
      <c r="Q26" s="421"/>
    </row>
    <row r="27" spans="4:17" s="3" customFormat="1" ht="14.5">
      <c r="D27" s="155"/>
      <c r="E27" s="202" t="s">
        <v>174</v>
      </c>
      <c r="F27" s="197"/>
      <c r="G27" s="197"/>
      <c r="H27" s="197"/>
      <c r="I27" s="197"/>
      <c r="J27" s="197"/>
      <c r="K27" s="197"/>
      <c r="L27" s="198"/>
      <c r="M27" s="206"/>
      <c r="N27" s="200"/>
      <c r="O27" s="201"/>
      <c r="P27" s="418">
        <f t="shared" si="0"/>
        <v>0</v>
      </c>
      <c r="Q27" s="421"/>
    </row>
    <row r="28" spans="4:17" s="3" customFormat="1" ht="14.5">
      <c r="D28" s="155"/>
      <c r="E28" s="203" t="s">
        <v>175</v>
      </c>
      <c r="F28" s="197"/>
      <c r="G28" s="197"/>
      <c r="H28" s="197"/>
      <c r="I28" s="197"/>
      <c r="J28" s="197"/>
      <c r="K28" s="197"/>
      <c r="L28" s="198"/>
      <c r="M28" s="199">
        <v>1</v>
      </c>
      <c r="N28" s="200" t="s">
        <v>164</v>
      </c>
      <c r="O28" s="201">
        <v>15000</v>
      </c>
      <c r="P28" s="418">
        <f t="shared" si="0"/>
        <v>15000</v>
      </c>
      <c r="Q28" s="421"/>
    </row>
    <row r="29" spans="4:17" s="3" customFormat="1" ht="14.5">
      <c r="D29" s="155"/>
      <c r="E29" s="203" t="s">
        <v>176</v>
      </c>
      <c r="F29" s="197"/>
      <c r="G29" s="197"/>
      <c r="H29" s="197"/>
      <c r="I29" s="197"/>
      <c r="J29" s="197"/>
      <c r="K29" s="197"/>
      <c r="L29" s="198"/>
      <c r="M29" s="199">
        <v>1</v>
      </c>
      <c r="N29" s="200" t="s">
        <v>164</v>
      </c>
      <c r="O29" s="201">
        <v>25000</v>
      </c>
      <c r="P29" s="418">
        <f t="shared" si="0"/>
        <v>25000</v>
      </c>
      <c r="Q29" s="421"/>
    </row>
    <row r="30" spans="4:17" s="3" customFormat="1" ht="14.5">
      <c r="D30" s="155"/>
      <c r="E30" s="203" t="s">
        <v>177</v>
      </c>
      <c r="F30" s="197"/>
      <c r="G30" s="197"/>
      <c r="H30" s="197" t="s">
        <v>178</v>
      </c>
      <c r="I30" s="197"/>
      <c r="J30" s="197"/>
      <c r="K30" s="197"/>
      <c r="L30" s="198"/>
      <c r="M30" s="453">
        <v>0</v>
      </c>
      <c r="N30" s="200" t="s">
        <v>164</v>
      </c>
      <c r="O30" s="201"/>
      <c r="P30" s="418">
        <f t="shared" si="0"/>
        <v>0</v>
      </c>
      <c r="Q30" s="421"/>
    </row>
    <row r="31" spans="4:17" s="3" customFormat="1" ht="14.5">
      <c r="D31" s="155"/>
      <c r="E31" s="203" t="s">
        <v>179</v>
      </c>
      <c r="F31" s="197"/>
      <c r="G31" s="197"/>
      <c r="H31" s="197"/>
      <c r="I31" s="197"/>
      <c r="J31" s="197"/>
      <c r="K31" s="197"/>
      <c r="L31" s="198"/>
      <c r="M31" s="453"/>
      <c r="N31" s="200"/>
      <c r="O31" s="201"/>
      <c r="P31" s="418">
        <f t="shared" si="0"/>
        <v>0</v>
      </c>
      <c r="Q31" s="421"/>
    </row>
    <row r="32" spans="4:17" s="3" customFormat="1" ht="14.5">
      <c r="D32" s="155"/>
      <c r="E32" s="203"/>
      <c r="F32" s="197"/>
      <c r="G32" s="197"/>
      <c r="H32" s="197"/>
      <c r="I32" s="197"/>
      <c r="J32" s="197"/>
      <c r="K32" s="197"/>
      <c r="L32" s="198"/>
      <c r="M32" s="453"/>
      <c r="N32" s="200"/>
      <c r="O32" s="201"/>
      <c r="P32" s="418">
        <f t="shared" si="0"/>
        <v>0</v>
      </c>
      <c r="Q32" s="421"/>
    </row>
    <row r="33" spans="1:17" s="3" customFormat="1" ht="14.5">
      <c r="D33" s="155"/>
      <c r="E33" s="202" t="s">
        <v>180</v>
      </c>
      <c r="F33" s="197"/>
      <c r="G33" s="197"/>
      <c r="H33" s="197"/>
      <c r="I33" s="197"/>
      <c r="J33" s="197"/>
      <c r="K33" s="197"/>
      <c r="L33" s="198"/>
      <c r="M33" s="453"/>
      <c r="N33" s="200"/>
      <c r="O33" s="201"/>
      <c r="P33" s="418">
        <f t="shared" si="0"/>
        <v>0</v>
      </c>
      <c r="Q33" s="421"/>
    </row>
    <row r="34" spans="1:17" s="3" customFormat="1" ht="14.5">
      <c r="D34" s="155"/>
      <c r="E34" s="203" t="s">
        <v>181</v>
      </c>
      <c r="F34" s="197"/>
      <c r="G34" s="197"/>
      <c r="H34" s="197"/>
      <c r="I34" s="197"/>
      <c r="J34" s="197"/>
      <c r="K34" s="197"/>
      <c r="L34" s="198"/>
      <c r="M34" s="453">
        <v>0</v>
      </c>
      <c r="N34" s="200" t="s">
        <v>1</v>
      </c>
      <c r="O34" s="201">
        <v>1000</v>
      </c>
      <c r="P34" s="418">
        <f t="shared" si="0"/>
        <v>0</v>
      </c>
      <c r="Q34" s="421"/>
    </row>
    <row r="35" spans="1:17" s="3" customFormat="1" ht="14.5">
      <c r="D35" s="155"/>
      <c r="E35" s="203" t="s">
        <v>182</v>
      </c>
      <c r="F35" s="197"/>
      <c r="G35" s="197"/>
      <c r="H35" s="197"/>
      <c r="I35" s="197"/>
      <c r="J35" s="197"/>
      <c r="K35" s="197"/>
      <c r="L35" s="198"/>
      <c r="M35" s="453">
        <v>14.043966847007464</v>
      </c>
      <c r="N35" s="200" t="s">
        <v>1</v>
      </c>
      <c r="O35" s="201">
        <v>400</v>
      </c>
      <c r="P35" s="418">
        <f t="shared" si="0"/>
        <v>5617.5867388029856</v>
      </c>
      <c r="Q35" s="421"/>
    </row>
    <row r="36" spans="1:17" s="3" customFormat="1" ht="14.5">
      <c r="D36" s="155"/>
      <c r="E36" s="203" t="s">
        <v>183</v>
      </c>
      <c r="F36" s="197"/>
      <c r="G36" s="197"/>
      <c r="H36" s="197"/>
      <c r="I36" s="197"/>
      <c r="J36" s="197"/>
      <c r="K36" s="197"/>
      <c r="L36" s="198"/>
      <c r="M36" s="453">
        <v>14.043966847007464</v>
      </c>
      <c r="N36" s="200" t="s">
        <v>1</v>
      </c>
      <c r="O36" s="201">
        <v>750</v>
      </c>
      <c r="P36" s="418">
        <f t="shared" si="0"/>
        <v>10532.975135255598</v>
      </c>
      <c r="Q36" s="421"/>
    </row>
    <row r="37" spans="1:17" s="3" customFormat="1" ht="14.5">
      <c r="D37" s="155"/>
      <c r="E37" s="203" t="s">
        <v>184</v>
      </c>
      <c r="F37" s="197"/>
      <c r="G37" s="197"/>
      <c r="H37" s="197"/>
      <c r="I37" s="197"/>
      <c r="J37" s="197"/>
      <c r="K37" s="197"/>
      <c r="L37" s="198"/>
      <c r="M37" s="453">
        <v>0</v>
      </c>
      <c r="N37" s="200" t="s">
        <v>1</v>
      </c>
      <c r="O37" s="201">
        <v>1000</v>
      </c>
      <c r="P37" s="418">
        <f t="shared" si="0"/>
        <v>0</v>
      </c>
      <c r="Q37" s="421"/>
    </row>
    <row r="38" spans="1:17" s="3" customFormat="1" ht="14.5">
      <c r="D38" s="155"/>
      <c r="E38" s="203" t="s">
        <v>185</v>
      </c>
      <c r="F38" s="197"/>
      <c r="G38" s="197"/>
      <c r="H38" s="197"/>
      <c r="I38" s="197"/>
      <c r="J38" s="197"/>
      <c r="K38" s="197"/>
      <c r="L38" s="198"/>
      <c r="M38" s="453">
        <v>0</v>
      </c>
      <c r="N38" s="200" t="s">
        <v>1</v>
      </c>
      <c r="O38" s="201">
        <v>450</v>
      </c>
      <c r="P38" s="418">
        <f t="shared" si="0"/>
        <v>0</v>
      </c>
      <c r="Q38" s="421"/>
    </row>
    <row r="39" spans="1:17" s="3" customFormat="1" ht="14.5">
      <c r="D39" s="155"/>
      <c r="E39" s="203" t="s">
        <v>186</v>
      </c>
      <c r="F39" s="197"/>
      <c r="G39" s="197"/>
      <c r="H39" s="197"/>
      <c r="I39" s="197"/>
      <c r="J39" s="197"/>
      <c r="K39" s="197"/>
      <c r="L39" s="198"/>
      <c r="M39" s="453">
        <v>0</v>
      </c>
      <c r="N39" s="200" t="s">
        <v>1</v>
      </c>
      <c r="O39" s="201">
        <v>1750</v>
      </c>
      <c r="P39" s="418">
        <f t="shared" si="0"/>
        <v>0</v>
      </c>
      <c r="Q39" s="421"/>
    </row>
    <row r="40" spans="1:17" s="3" customFormat="1" ht="14.5">
      <c r="D40" s="155"/>
      <c r="E40" s="196"/>
      <c r="F40" s="197"/>
      <c r="G40" s="197"/>
      <c r="H40" s="197"/>
      <c r="I40" s="197"/>
      <c r="J40" s="197"/>
      <c r="K40" s="197"/>
      <c r="L40" s="198"/>
      <c r="M40" s="199"/>
      <c r="N40" s="200"/>
      <c r="O40" s="201"/>
      <c r="P40" s="418">
        <f t="shared" si="0"/>
        <v>0</v>
      </c>
      <c r="Q40" s="421"/>
    </row>
    <row r="41" spans="1:17" s="3" customFormat="1" ht="14.5">
      <c r="D41" s="155"/>
      <c r="E41" s="179"/>
      <c r="F41" s="180"/>
      <c r="G41" s="180"/>
      <c r="H41" s="180"/>
      <c r="I41" s="180"/>
      <c r="J41" s="180"/>
      <c r="K41" s="180"/>
      <c r="L41" s="181"/>
      <c r="M41" s="182"/>
      <c r="N41" s="183"/>
      <c r="O41" s="212">
        <v>0</v>
      </c>
      <c r="P41" s="419"/>
      <c r="Q41" s="419"/>
    </row>
    <row r="42" spans="1:17" s="3" customFormat="1" ht="14.5">
      <c r="D42" s="155"/>
      <c r="E42" s="202" t="s">
        <v>187</v>
      </c>
      <c r="F42" s="197"/>
      <c r="G42" s="197"/>
      <c r="H42" s="197"/>
      <c r="I42" s="197"/>
      <c r="J42" s="197"/>
      <c r="K42" s="197"/>
      <c r="L42" s="198"/>
      <c r="M42" s="199"/>
      <c r="N42" s="200"/>
      <c r="O42" s="213">
        <v>0</v>
      </c>
      <c r="P42" s="420">
        <f>SUM(P13:P41)</f>
        <v>185461.39758834432</v>
      </c>
      <c r="Q42" s="421"/>
    </row>
    <row r="44" spans="1:17" s="4" customFormat="1" ht="14.5">
      <c r="A44" s="7"/>
      <c r="B44" s="7"/>
      <c r="C44" s="7"/>
      <c r="D44" s="148"/>
      <c r="E44" s="216" t="s">
        <v>31</v>
      </c>
      <c r="F44" s="147" t="s">
        <v>32</v>
      </c>
      <c r="G44" s="147"/>
      <c r="H44" s="147"/>
      <c r="I44" s="147"/>
      <c r="J44" s="147"/>
      <c r="K44" s="147"/>
      <c r="L44" s="147"/>
      <c r="M44" s="149"/>
      <c r="N44" s="150"/>
      <c r="O44" s="151"/>
      <c r="P44" s="152"/>
      <c r="Q44" s="153"/>
    </row>
    <row r="45" spans="1:17" s="3" customFormat="1" ht="14.5">
      <c r="D45" s="155"/>
      <c r="E45" s="168" t="str">
        <f>RECAP!F14</f>
        <v>EARTHWORK</v>
      </c>
      <c r="F45" s="169"/>
      <c r="G45" s="168"/>
      <c r="H45" s="168"/>
      <c r="I45" s="168"/>
      <c r="J45" s="168"/>
      <c r="K45" s="168"/>
      <c r="L45" s="163"/>
      <c r="M45" s="164"/>
      <c r="N45" s="165"/>
      <c r="O45" s="166"/>
      <c r="P45" s="167"/>
      <c r="Q45" s="167"/>
    </row>
    <row r="46" spans="1:17" s="5" customFormat="1" ht="14.5">
      <c r="D46" s="170"/>
      <c r="E46" s="171"/>
      <c r="F46" s="172"/>
      <c r="G46" s="172" t="s">
        <v>13</v>
      </c>
      <c r="H46" s="172"/>
      <c r="I46" s="172"/>
      <c r="J46" s="172"/>
      <c r="K46" s="172"/>
      <c r="L46" s="173"/>
      <c r="M46" s="174" t="s">
        <v>23</v>
      </c>
      <c r="N46" s="175" t="s">
        <v>151</v>
      </c>
      <c r="O46" s="176" t="s">
        <v>152</v>
      </c>
      <c r="P46" s="177" t="s">
        <v>153</v>
      </c>
      <c r="Q46" s="416" t="s">
        <v>17</v>
      </c>
    </row>
    <row r="47" spans="1:17" s="3" customFormat="1" ht="14.5">
      <c r="D47" s="155"/>
      <c r="E47" s="179"/>
      <c r="F47" s="180"/>
      <c r="G47" s="180"/>
      <c r="H47" s="180"/>
      <c r="I47" s="180"/>
      <c r="J47" s="180"/>
      <c r="K47" s="180"/>
      <c r="L47" s="181"/>
      <c r="M47" s="182"/>
      <c r="N47" s="183"/>
      <c r="O47" s="184"/>
      <c r="P47" s="185"/>
      <c r="Q47" s="417"/>
    </row>
    <row r="48" spans="1:17" s="4" customFormat="1" ht="15" thickBot="1">
      <c r="D48" s="148"/>
      <c r="E48" s="186" t="s">
        <v>154</v>
      </c>
      <c r="F48" s="187"/>
      <c r="G48" s="187"/>
      <c r="H48" s="187"/>
      <c r="I48" s="187"/>
      <c r="J48" s="187"/>
      <c r="K48" s="187"/>
      <c r="L48" s="188"/>
      <c r="M48" s="189"/>
      <c r="N48" s="190"/>
      <c r="O48" s="220"/>
      <c r="P48" s="221">
        <f t="shared" ref="P48:P109" si="1">M48*O48</f>
        <v>0</v>
      </c>
      <c r="Q48" s="421"/>
    </row>
    <row r="49" spans="4:17" s="3" customFormat="1" ht="15" thickTop="1">
      <c r="D49" s="155"/>
      <c r="E49" s="203"/>
      <c r="F49" s="197"/>
      <c r="G49" s="197"/>
      <c r="H49" s="197"/>
      <c r="I49" s="197"/>
      <c r="J49" s="197"/>
      <c r="K49" s="197"/>
      <c r="L49" s="198"/>
      <c r="M49" s="199"/>
      <c r="N49" s="200"/>
      <c r="O49" s="222"/>
      <c r="P49" s="214">
        <f t="shared" si="1"/>
        <v>0</v>
      </c>
      <c r="Q49" s="421"/>
    </row>
    <row r="50" spans="4:17" s="3" customFormat="1" ht="14.5">
      <c r="D50" s="155"/>
      <c r="E50" s="223"/>
      <c r="F50" s="192"/>
      <c r="G50" s="224"/>
      <c r="H50" s="192"/>
      <c r="I50" s="192"/>
      <c r="J50" s="192"/>
      <c r="K50" s="192"/>
      <c r="L50" s="193"/>
      <c r="M50" s="194"/>
      <c r="N50" s="195"/>
      <c r="O50" s="225"/>
      <c r="P50" s="226">
        <f t="shared" si="1"/>
        <v>0</v>
      </c>
      <c r="Q50" s="421"/>
    </row>
    <row r="51" spans="4:17" s="3" customFormat="1" ht="14.5">
      <c r="D51" s="155"/>
      <c r="E51" s="196" t="s">
        <v>191</v>
      </c>
      <c r="F51" s="197"/>
      <c r="G51" s="197"/>
      <c r="H51" s="197"/>
      <c r="I51" s="197"/>
      <c r="J51" s="197"/>
      <c r="K51" s="197"/>
      <c r="L51" s="198"/>
      <c r="M51" s="206"/>
      <c r="N51" s="200"/>
      <c r="O51" s="222"/>
      <c r="P51" s="214">
        <f t="shared" si="1"/>
        <v>0</v>
      </c>
      <c r="Q51" s="421"/>
    </row>
    <row r="52" spans="4:17" s="3" customFormat="1" ht="14.5">
      <c r="D52" s="155"/>
      <c r="E52" s="203" t="s">
        <v>192</v>
      </c>
      <c r="F52" s="197"/>
      <c r="G52" s="197"/>
      <c r="H52" s="197"/>
      <c r="I52" s="197"/>
      <c r="J52" s="197"/>
      <c r="K52" s="197"/>
      <c r="L52" s="198"/>
      <c r="M52" s="206"/>
      <c r="N52" s="200"/>
      <c r="O52" s="222"/>
      <c r="P52" s="214">
        <f t="shared" si="1"/>
        <v>0</v>
      </c>
      <c r="Q52" s="421"/>
    </row>
    <row r="53" spans="4:17" s="3" customFormat="1" ht="14.5">
      <c r="D53" s="155"/>
      <c r="E53" s="218" t="s">
        <v>193</v>
      </c>
      <c r="F53" s="197"/>
      <c r="G53" s="197"/>
      <c r="H53" s="197"/>
      <c r="I53" s="197"/>
      <c r="J53" s="197"/>
      <c r="K53" s="197"/>
      <c r="L53" s="198"/>
      <c r="M53" s="199">
        <v>1</v>
      </c>
      <c r="N53" s="200" t="s">
        <v>164</v>
      </c>
      <c r="O53" s="222">
        <v>2500</v>
      </c>
      <c r="P53" s="214">
        <f t="shared" si="1"/>
        <v>2500</v>
      </c>
      <c r="Q53" s="421"/>
    </row>
    <row r="54" spans="4:17" s="3" customFormat="1" ht="14.5">
      <c r="D54" s="155"/>
      <c r="E54" s="218" t="s">
        <v>194</v>
      </c>
      <c r="F54" s="197"/>
      <c r="G54" s="197"/>
      <c r="H54" s="197"/>
      <c r="I54" s="197"/>
      <c r="J54" s="197"/>
      <c r="K54" s="197"/>
      <c r="L54" s="198"/>
      <c r="M54" s="199">
        <v>1</v>
      </c>
      <c r="N54" s="200" t="s">
        <v>164</v>
      </c>
      <c r="O54" s="222">
        <v>350</v>
      </c>
      <c r="P54" s="214">
        <f t="shared" si="1"/>
        <v>350</v>
      </c>
      <c r="Q54" s="421"/>
    </row>
    <row r="55" spans="4:17" s="3" customFormat="1" ht="14.5">
      <c r="D55" s="155"/>
      <c r="E55" s="218" t="s">
        <v>195</v>
      </c>
      <c r="F55" s="197"/>
      <c r="G55" s="197"/>
      <c r="H55" s="197"/>
      <c r="I55" s="197"/>
      <c r="J55" s="197"/>
      <c r="K55" s="197"/>
      <c r="L55" s="198"/>
      <c r="M55" s="199">
        <v>1</v>
      </c>
      <c r="N55" s="200" t="s">
        <v>164</v>
      </c>
      <c r="O55" s="222">
        <v>500</v>
      </c>
      <c r="P55" s="214">
        <f t="shared" si="1"/>
        <v>500</v>
      </c>
      <c r="Q55" s="421"/>
    </row>
    <row r="56" spans="4:17" s="3" customFormat="1" ht="14.5">
      <c r="D56" s="155"/>
      <c r="E56" s="218" t="s">
        <v>196</v>
      </c>
      <c r="F56" s="197"/>
      <c r="G56" s="197"/>
      <c r="H56" s="197"/>
      <c r="I56" s="197"/>
      <c r="J56" s="197"/>
      <c r="K56" s="197"/>
      <c r="L56" s="198"/>
      <c r="M56" s="199">
        <v>60.857142857142854</v>
      </c>
      <c r="N56" s="200" t="s">
        <v>197</v>
      </c>
      <c r="O56" s="222">
        <v>50</v>
      </c>
      <c r="P56" s="214">
        <f t="shared" si="1"/>
        <v>3042.8571428571427</v>
      </c>
      <c r="Q56" s="421"/>
    </row>
    <row r="57" spans="4:17" s="3" customFormat="1" ht="14.5">
      <c r="D57" s="155"/>
      <c r="E57" s="203" t="s">
        <v>198</v>
      </c>
      <c r="F57" s="197"/>
      <c r="G57" s="197"/>
      <c r="H57" s="197"/>
      <c r="I57" s="197"/>
      <c r="J57" s="197"/>
      <c r="K57" s="197"/>
      <c r="L57" s="198"/>
      <c r="M57" s="199"/>
      <c r="N57" s="200"/>
      <c r="O57" s="222"/>
      <c r="P57" s="214">
        <f t="shared" si="1"/>
        <v>0</v>
      </c>
      <c r="Q57" s="421"/>
    </row>
    <row r="58" spans="4:17" s="3" customFormat="1" ht="14.5">
      <c r="D58" s="155"/>
      <c r="E58" s="218" t="s">
        <v>199</v>
      </c>
      <c r="F58" s="197"/>
      <c r="G58" s="197"/>
      <c r="H58" s="197"/>
      <c r="I58" s="197"/>
      <c r="J58" s="197"/>
      <c r="K58" s="197"/>
      <c r="L58" s="198"/>
      <c r="M58" s="199">
        <v>1</v>
      </c>
      <c r="N58" s="200" t="s">
        <v>162</v>
      </c>
      <c r="O58" s="222">
        <v>2500</v>
      </c>
      <c r="P58" s="214">
        <f t="shared" si="1"/>
        <v>2500</v>
      </c>
      <c r="Q58" s="421"/>
    </row>
    <row r="59" spans="4:17" s="3" customFormat="1" ht="14.5">
      <c r="D59" s="155"/>
      <c r="E59" s="218" t="s">
        <v>200</v>
      </c>
      <c r="F59" s="197"/>
      <c r="G59" s="197"/>
      <c r="H59" s="197"/>
      <c r="I59" s="197"/>
      <c r="J59" s="197"/>
      <c r="K59" s="197"/>
      <c r="L59" s="198"/>
      <c r="M59" s="199">
        <v>2365</v>
      </c>
      <c r="N59" s="200" t="s">
        <v>7</v>
      </c>
      <c r="O59" s="222">
        <v>2</v>
      </c>
      <c r="P59" s="214">
        <f t="shared" si="1"/>
        <v>4730</v>
      </c>
      <c r="Q59" s="421"/>
    </row>
    <row r="60" spans="4:17" s="3" customFormat="1" ht="14.5">
      <c r="D60" s="155"/>
      <c r="E60" s="218" t="s">
        <v>201</v>
      </c>
      <c r="F60" s="197"/>
      <c r="G60" s="197"/>
      <c r="H60" s="197"/>
      <c r="I60" s="197"/>
      <c r="J60" s="197"/>
      <c r="K60" s="197"/>
      <c r="L60" s="198"/>
      <c r="M60" s="199">
        <v>5</v>
      </c>
      <c r="N60" s="200" t="s">
        <v>162</v>
      </c>
      <c r="O60" s="222">
        <v>250</v>
      </c>
      <c r="P60" s="214">
        <f t="shared" si="1"/>
        <v>1250</v>
      </c>
      <c r="Q60" s="421"/>
    </row>
    <row r="61" spans="4:17" s="3" customFormat="1" ht="14.5">
      <c r="D61" s="155"/>
      <c r="E61" s="203" t="s">
        <v>203</v>
      </c>
      <c r="F61" s="197"/>
      <c r="G61" s="197"/>
      <c r="H61" s="197"/>
      <c r="I61" s="197"/>
      <c r="J61" s="197"/>
      <c r="K61" s="197"/>
      <c r="L61" s="198"/>
      <c r="M61" s="206"/>
      <c r="N61" s="200"/>
      <c r="O61" s="222"/>
      <c r="P61" s="214">
        <f t="shared" si="1"/>
        <v>0</v>
      </c>
      <c r="Q61" s="421"/>
    </row>
    <row r="62" spans="4:17" s="3" customFormat="1" ht="14.5">
      <c r="D62" s="155"/>
      <c r="E62" s="218" t="s">
        <v>204</v>
      </c>
      <c r="F62" s="197"/>
      <c r="G62" s="197"/>
      <c r="H62" s="197"/>
      <c r="I62" s="197"/>
      <c r="J62" s="197"/>
      <c r="K62" s="197"/>
      <c r="L62" s="198"/>
      <c r="M62" s="199">
        <v>60.857142857142854</v>
      </c>
      <c r="N62" s="200" t="s">
        <v>197</v>
      </c>
      <c r="O62" s="222">
        <v>75</v>
      </c>
      <c r="P62" s="214">
        <f t="shared" si="1"/>
        <v>4564.2857142857138</v>
      </c>
      <c r="Q62" s="421"/>
    </row>
    <row r="63" spans="4:17" s="3" customFormat="1" ht="14.5">
      <c r="D63" s="155"/>
      <c r="E63" s="218" t="s">
        <v>205</v>
      </c>
      <c r="F63" s="197"/>
      <c r="G63" s="197"/>
      <c r="H63" s="197"/>
      <c r="I63" s="197"/>
      <c r="J63" s="197"/>
      <c r="K63" s="197"/>
      <c r="L63" s="198"/>
      <c r="M63" s="199">
        <v>1</v>
      </c>
      <c r="N63" s="200" t="s">
        <v>164</v>
      </c>
      <c r="O63" s="222">
        <v>2000</v>
      </c>
      <c r="P63" s="214">
        <f t="shared" si="1"/>
        <v>2000</v>
      </c>
      <c r="Q63" s="421"/>
    </row>
    <row r="64" spans="4:17" s="3" customFormat="1" ht="14.5">
      <c r="D64" s="155"/>
      <c r="E64" s="203"/>
      <c r="F64" s="197"/>
      <c r="G64" s="197"/>
      <c r="H64" s="197"/>
      <c r="I64" s="197"/>
      <c r="J64" s="197"/>
      <c r="K64" s="197"/>
      <c r="L64" s="198"/>
      <c r="M64" s="206"/>
      <c r="N64" s="200"/>
      <c r="O64" s="222"/>
      <c r="P64" s="214">
        <f t="shared" si="1"/>
        <v>0</v>
      </c>
      <c r="Q64" s="421"/>
    </row>
    <row r="65" spans="4:17" s="3" customFormat="1" ht="14.5">
      <c r="D65" s="155"/>
      <c r="E65" s="215" t="s">
        <v>188</v>
      </c>
      <c r="F65" s="197"/>
      <c r="G65" s="197"/>
      <c r="H65" s="197"/>
      <c r="I65" s="197"/>
      <c r="J65" s="197"/>
      <c r="K65" s="197"/>
      <c r="L65" s="198"/>
      <c r="M65" s="206"/>
      <c r="N65" s="200"/>
      <c r="O65" s="222"/>
      <c r="P65" s="214">
        <f t="shared" si="1"/>
        <v>0</v>
      </c>
      <c r="Q65" s="421"/>
    </row>
    <row r="66" spans="4:17" s="3" customFormat="1" ht="14.5">
      <c r="D66" s="155"/>
      <c r="E66" s="203" t="s">
        <v>206</v>
      </c>
      <c r="F66" s="197"/>
      <c r="G66" s="197"/>
      <c r="H66" s="197"/>
      <c r="I66" s="197"/>
      <c r="J66" s="197"/>
      <c r="K66" s="197"/>
      <c r="L66" s="198"/>
      <c r="M66" s="199">
        <v>492</v>
      </c>
      <c r="N66" s="200" t="s">
        <v>7</v>
      </c>
      <c r="O66" s="222">
        <v>12</v>
      </c>
      <c r="P66" s="214">
        <f t="shared" si="1"/>
        <v>5904</v>
      </c>
      <c r="Q66" s="421"/>
    </row>
    <row r="67" spans="4:17" s="3" customFormat="1" ht="14.5">
      <c r="D67" s="155"/>
      <c r="E67" s="203" t="s">
        <v>698</v>
      </c>
      <c r="F67" s="197"/>
      <c r="G67" s="197"/>
      <c r="H67" s="197"/>
      <c r="I67" s="197"/>
      <c r="J67" s="197"/>
      <c r="K67" s="197"/>
      <c r="L67" s="198"/>
      <c r="M67" s="199">
        <v>1</v>
      </c>
      <c r="N67" s="200" t="s">
        <v>164</v>
      </c>
      <c r="O67" s="222">
        <v>10000</v>
      </c>
      <c r="P67" s="214">
        <f t="shared" si="1"/>
        <v>10000</v>
      </c>
      <c r="Q67" s="421"/>
    </row>
    <row r="68" spans="4:17" s="3" customFormat="1" ht="14.5">
      <c r="D68" s="155"/>
      <c r="E68" s="203"/>
      <c r="F68" s="197"/>
      <c r="G68" s="197"/>
      <c r="H68" s="197"/>
      <c r="I68" s="197"/>
      <c r="J68" s="197"/>
      <c r="K68" s="197"/>
      <c r="L68" s="198"/>
      <c r="M68" s="206"/>
      <c r="N68" s="200"/>
      <c r="O68" s="222"/>
      <c r="P68" s="214">
        <f t="shared" si="1"/>
        <v>0</v>
      </c>
      <c r="Q68" s="421"/>
    </row>
    <row r="69" spans="4:17" s="3" customFormat="1" ht="14.5">
      <c r="D69" s="155"/>
      <c r="E69" s="215" t="s">
        <v>207</v>
      </c>
      <c r="F69" s="197"/>
      <c r="G69" s="197"/>
      <c r="H69" s="197"/>
      <c r="I69" s="197"/>
      <c r="J69" s="197"/>
      <c r="K69" s="197"/>
      <c r="L69" s="198"/>
      <c r="M69" s="206"/>
      <c r="N69" s="200"/>
      <c r="O69" s="222"/>
      <c r="P69" s="214">
        <f t="shared" si="1"/>
        <v>0</v>
      </c>
      <c r="Q69" s="421"/>
    </row>
    <row r="70" spans="4:17" s="3" customFormat="1" ht="14.5">
      <c r="D70" s="155"/>
      <c r="E70" s="203" t="s">
        <v>208</v>
      </c>
      <c r="F70" s="197"/>
      <c r="G70" s="197"/>
      <c r="H70" s="197"/>
      <c r="I70" s="227" t="s">
        <v>4</v>
      </c>
      <c r="J70" s="197" t="e">
        <f>SiteArea</f>
        <v>#REF!</v>
      </c>
      <c r="K70" s="197" t="s">
        <v>5</v>
      </c>
      <c r="L70" s="198"/>
      <c r="M70" s="228">
        <v>8.0348943985307617</v>
      </c>
      <c r="N70" s="200" t="s">
        <v>6</v>
      </c>
      <c r="O70" s="222">
        <v>1800</v>
      </c>
      <c r="P70" s="214">
        <f t="shared" si="1"/>
        <v>14462.809917355371</v>
      </c>
      <c r="Q70" s="421"/>
    </row>
    <row r="71" spans="4:17" s="3" customFormat="1" ht="14.5">
      <c r="D71" s="155"/>
      <c r="E71" s="203" t="s">
        <v>619</v>
      </c>
      <c r="F71" s="197"/>
      <c r="G71" s="197"/>
      <c r="H71" s="197"/>
      <c r="I71" s="197"/>
      <c r="J71" s="197"/>
      <c r="K71" s="197"/>
      <c r="L71" s="198"/>
      <c r="M71" s="199"/>
      <c r="N71" s="200" t="s">
        <v>5</v>
      </c>
      <c r="O71" s="222">
        <v>3</v>
      </c>
      <c r="P71" s="214">
        <f t="shared" si="1"/>
        <v>0</v>
      </c>
      <c r="Q71" s="421"/>
    </row>
    <row r="72" spans="4:17" s="3" customFormat="1" ht="14.5">
      <c r="D72" s="155"/>
      <c r="E72" s="203" t="s">
        <v>210</v>
      </c>
      <c r="F72" s="197"/>
      <c r="G72" s="197" t="s">
        <v>211</v>
      </c>
      <c r="H72" s="197"/>
      <c r="I72" s="197"/>
      <c r="J72" s="197"/>
      <c r="K72" s="197"/>
      <c r="L72" s="198"/>
      <c r="M72" s="199">
        <v>6481.4814814814818</v>
      </c>
      <c r="N72" s="200" t="s">
        <v>212</v>
      </c>
      <c r="O72" s="222">
        <v>3</v>
      </c>
      <c r="P72" s="214">
        <f t="shared" si="1"/>
        <v>19444.444444444445</v>
      </c>
      <c r="Q72" s="421"/>
    </row>
    <row r="73" spans="4:17" s="3" customFormat="1" ht="14.5">
      <c r="D73" s="155"/>
      <c r="E73" s="203" t="s">
        <v>213</v>
      </c>
      <c r="F73" s="197"/>
      <c r="G73" s="197"/>
      <c r="H73" s="197"/>
      <c r="I73" s="197"/>
      <c r="J73" s="197"/>
      <c r="K73" s="197"/>
      <c r="L73" s="198"/>
      <c r="M73" s="199">
        <v>6481.4814814814818</v>
      </c>
      <c r="N73" s="200" t="s">
        <v>212</v>
      </c>
      <c r="O73" s="222">
        <v>4</v>
      </c>
      <c r="P73" s="214">
        <f t="shared" si="1"/>
        <v>25925.925925925927</v>
      </c>
      <c r="Q73" s="421"/>
    </row>
    <row r="74" spans="4:17" s="3" customFormat="1" ht="14.5">
      <c r="D74" s="155"/>
      <c r="E74" s="203" t="s">
        <v>214</v>
      </c>
      <c r="F74" s="197"/>
      <c r="G74" s="197"/>
      <c r="H74" s="197" t="s">
        <v>215</v>
      </c>
      <c r="I74" s="197"/>
      <c r="J74" s="197" t="s">
        <v>216</v>
      </c>
      <c r="K74" s="197">
        <v>3</v>
      </c>
      <c r="L74" s="198" t="s">
        <v>217</v>
      </c>
      <c r="M74" s="199">
        <v>38888.888888888891</v>
      </c>
      <c r="N74" s="200" t="s">
        <v>212</v>
      </c>
      <c r="O74" s="222">
        <v>3</v>
      </c>
      <c r="P74" s="214">
        <f t="shared" si="1"/>
        <v>116666.66666666667</v>
      </c>
      <c r="Q74" s="421"/>
    </row>
    <row r="75" spans="4:17" s="3" customFormat="1" ht="14.5">
      <c r="D75" s="155"/>
      <c r="E75" s="203" t="s">
        <v>218</v>
      </c>
      <c r="F75" s="197"/>
      <c r="G75" s="197"/>
      <c r="H75" s="197" t="s">
        <v>212</v>
      </c>
      <c r="I75" s="197"/>
      <c r="J75" s="197"/>
      <c r="K75" s="197"/>
      <c r="L75" s="198">
        <v>0.4</v>
      </c>
      <c r="M75" s="199"/>
      <c r="N75" s="200" t="s">
        <v>219</v>
      </c>
      <c r="O75" s="222">
        <v>9</v>
      </c>
      <c r="P75" s="214">
        <f t="shared" si="1"/>
        <v>0</v>
      </c>
      <c r="Q75" s="421"/>
    </row>
    <row r="76" spans="4:17" s="3" customFormat="1" ht="14.5">
      <c r="D76" s="155"/>
      <c r="E76" s="203" t="s">
        <v>220</v>
      </c>
      <c r="F76" s="197"/>
      <c r="G76" s="197"/>
      <c r="H76" s="197" t="s">
        <v>212</v>
      </c>
      <c r="I76" s="197"/>
      <c r="J76" s="197"/>
      <c r="K76" s="197"/>
      <c r="L76" s="198">
        <v>0.4</v>
      </c>
      <c r="M76" s="199">
        <v>7592.75</v>
      </c>
      <c r="N76" s="200" t="s">
        <v>219</v>
      </c>
      <c r="O76" s="222">
        <v>15</v>
      </c>
      <c r="P76" s="214">
        <f t="shared" si="1"/>
        <v>113891.25</v>
      </c>
      <c r="Q76" s="421"/>
    </row>
    <row r="77" spans="4:17" s="3" customFormat="1" ht="14.5">
      <c r="D77" s="155"/>
      <c r="E77" s="203"/>
      <c r="F77" s="197"/>
      <c r="G77" s="197"/>
      <c r="H77" s="197"/>
      <c r="I77" s="197"/>
      <c r="J77" s="197"/>
      <c r="K77" s="197"/>
      <c r="L77" s="198"/>
      <c r="M77" s="206"/>
      <c r="N77" s="200"/>
      <c r="O77" s="222"/>
      <c r="P77" s="214">
        <f t="shared" si="1"/>
        <v>0</v>
      </c>
      <c r="Q77" s="421"/>
    </row>
    <row r="78" spans="4:17" s="3" customFormat="1" ht="14.5">
      <c r="D78" s="155"/>
      <c r="E78" s="215" t="s">
        <v>221</v>
      </c>
      <c r="F78" s="197"/>
      <c r="G78" s="197"/>
      <c r="H78" s="197"/>
      <c r="I78" s="197"/>
      <c r="J78" s="197"/>
      <c r="K78" s="197"/>
      <c r="L78" s="198"/>
      <c r="M78" s="206"/>
      <c r="N78" s="200"/>
      <c r="O78" s="222"/>
      <c r="P78" s="214">
        <f t="shared" si="1"/>
        <v>0</v>
      </c>
      <c r="Q78" s="421"/>
    </row>
    <row r="79" spans="4:17" s="3" customFormat="1" ht="14.5">
      <c r="D79" s="155"/>
      <c r="E79" s="203" t="s">
        <v>222</v>
      </c>
      <c r="F79" s="197"/>
      <c r="G79" s="197"/>
      <c r="H79" s="197"/>
      <c r="I79" s="197"/>
      <c r="J79" s="197"/>
      <c r="K79" s="197"/>
      <c r="L79" s="198"/>
      <c r="M79" s="199"/>
      <c r="N79" s="200"/>
      <c r="O79" s="222"/>
      <c r="P79" s="214">
        <f t="shared" si="1"/>
        <v>0</v>
      </c>
      <c r="Q79" s="421"/>
    </row>
    <row r="80" spans="4:17" s="3" customFormat="1" ht="14.5">
      <c r="D80" s="155"/>
      <c r="E80" s="218" t="s">
        <v>223</v>
      </c>
      <c r="F80" s="197"/>
      <c r="G80" s="197"/>
      <c r="H80" s="197"/>
      <c r="I80" s="197"/>
      <c r="J80" s="197"/>
      <c r="K80" s="197"/>
      <c r="L80" s="198"/>
      <c r="M80" s="199">
        <v>0</v>
      </c>
      <c r="N80" s="200" t="s">
        <v>5</v>
      </c>
      <c r="O80" s="222">
        <v>0.35</v>
      </c>
      <c r="P80" s="214">
        <f t="shared" si="1"/>
        <v>0</v>
      </c>
      <c r="Q80" s="421"/>
    </row>
    <row r="81" spans="4:17" s="3" customFormat="1" ht="14.5">
      <c r="D81" s="155"/>
      <c r="E81" s="218" t="s">
        <v>224</v>
      </c>
      <c r="F81" s="197"/>
      <c r="G81" s="197"/>
      <c r="H81" s="197"/>
      <c r="I81" s="197"/>
      <c r="J81" s="197"/>
      <c r="K81" s="197"/>
      <c r="L81" s="198"/>
      <c r="M81" s="199">
        <v>45195</v>
      </c>
      <c r="N81" s="200" t="s">
        <v>5</v>
      </c>
      <c r="O81" s="222">
        <v>0.35</v>
      </c>
      <c r="P81" s="214">
        <f t="shared" si="1"/>
        <v>15818.249999999998</v>
      </c>
      <c r="Q81" s="421"/>
    </row>
    <row r="82" spans="4:17" s="3" customFormat="1" ht="14.5">
      <c r="D82" s="155"/>
      <c r="E82" s="218" t="s">
        <v>225</v>
      </c>
      <c r="F82" s="197"/>
      <c r="G82" s="197"/>
      <c r="H82" s="197"/>
      <c r="I82" s="197"/>
      <c r="J82" s="197"/>
      <c r="K82" s="197"/>
      <c r="L82" s="198"/>
      <c r="M82" s="199">
        <v>10540</v>
      </c>
      <c r="N82" s="200" t="s">
        <v>5</v>
      </c>
      <c r="O82" s="222">
        <v>0.35</v>
      </c>
      <c r="P82" s="214">
        <f t="shared" si="1"/>
        <v>3688.9999999999995</v>
      </c>
      <c r="Q82" s="421"/>
    </row>
    <row r="83" spans="4:17" s="3" customFormat="1" ht="14.5">
      <c r="D83" s="155"/>
      <c r="E83" s="218" t="s">
        <v>226</v>
      </c>
      <c r="F83" s="197"/>
      <c r="G83" s="197"/>
      <c r="H83" s="197"/>
      <c r="I83" s="197"/>
      <c r="J83" s="197"/>
      <c r="K83" s="197"/>
      <c r="L83" s="198"/>
      <c r="M83" s="199">
        <v>0</v>
      </c>
      <c r="N83" s="200" t="s">
        <v>5</v>
      </c>
      <c r="O83" s="222">
        <v>0.35</v>
      </c>
      <c r="P83" s="214">
        <f t="shared" si="1"/>
        <v>0</v>
      </c>
      <c r="Q83" s="421"/>
    </row>
    <row r="84" spans="4:17" s="3" customFormat="1" ht="14.5">
      <c r="D84" s="155"/>
      <c r="E84" s="218" t="s">
        <v>227</v>
      </c>
      <c r="F84" s="197"/>
      <c r="G84" s="197"/>
      <c r="H84" s="197"/>
      <c r="I84" s="197"/>
      <c r="J84" s="197"/>
      <c r="K84" s="197"/>
      <c r="L84" s="198"/>
      <c r="M84" s="199">
        <v>17125</v>
      </c>
      <c r="N84" s="200" t="s">
        <v>5</v>
      </c>
      <c r="O84" s="222">
        <v>0.35</v>
      </c>
      <c r="P84" s="214">
        <f t="shared" si="1"/>
        <v>5993.75</v>
      </c>
      <c r="Q84" s="421"/>
    </row>
    <row r="85" spans="4:17" s="51" customFormat="1" ht="14.5">
      <c r="D85" s="229"/>
      <c r="E85" s="230" t="s">
        <v>228</v>
      </c>
      <c r="F85" s="231"/>
      <c r="G85" s="231"/>
      <c r="H85" s="231" t="s">
        <v>229</v>
      </c>
      <c r="I85" s="231"/>
      <c r="J85" s="231"/>
      <c r="K85" s="231"/>
      <c r="L85" s="232"/>
      <c r="M85" s="233"/>
      <c r="N85" s="234"/>
      <c r="O85" s="235"/>
      <c r="P85" s="236">
        <f t="shared" si="1"/>
        <v>0</v>
      </c>
      <c r="Q85" s="421"/>
    </row>
    <row r="86" spans="4:17" s="51" customFormat="1" ht="14.5">
      <c r="D86" s="229"/>
      <c r="E86" s="237" t="s">
        <v>223</v>
      </c>
      <c r="F86" s="231"/>
      <c r="G86" s="231"/>
      <c r="H86" s="231"/>
      <c r="I86" s="231"/>
      <c r="J86" s="231"/>
      <c r="K86" s="231"/>
      <c r="L86" s="232"/>
      <c r="M86" s="233">
        <v>0</v>
      </c>
      <c r="N86" s="238" t="s">
        <v>202</v>
      </c>
      <c r="O86" s="235">
        <v>7.5</v>
      </c>
      <c r="P86" s="236">
        <f t="shared" si="1"/>
        <v>0</v>
      </c>
      <c r="Q86" s="421"/>
    </row>
    <row r="87" spans="4:17" s="3" customFormat="1" ht="14.5">
      <c r="D87" s="155"/>
      <c r="E87" s="218" t="s">
        <v>224</v>
      </c>
      <c r="F87" s="197"/>
      <c r="G87" s="197"/>
      <c r="H87" s="197"/>
      <c r="I87" s="197"/>
      <c r="J87" s="197"/>
      <c r="K87" s="197"/>
      <c r="L87" s="198"/>
      <c r="M87" s="233">
        <v>5021.666666666667</v>
      </c>
      <c r="N87" s="200" t="s">
        <v>202</v>
      </c>
      <c r="O87" s="235">
        <v>7.5</v>
      </c>
      <c r="P87" s="214">
        <f t="shared" si="1"/>
        <v>37662.5</v>
      </c>
      <c r="Q87" s="421"/>
    </row>
    <row r="88" spans="4:17" s="3" customFormat="1" ht="14.5">
      <c r="D88" s="155"/>
      <c r="E88" s="218" t="s">
        <v>225</v>
      </c>
      <c r="F88" s="197"/>
      <c r="G88" s="197"/>
      <c r="H88" s="197"/>
      <c r="I88" s="197"/>
      <c r="J88" s="197"/>
      <c r="K88" s="197"/>
      <c r="L88" s="198"/>
      <c r="M88" s="233">
        <v>1171.1111111111111</v>
      </c>
      <c r="N88" s="200" t="s">
        <v>202</v>
      </c>
      <c r="O88" s="235">
        <v>7.5</v>
      </c>
      <c r="P88" s="214">
        <f t="shared" si="1"/>
        <v>8783.3333333333339</v>
      </c>
      <c r="Q88" s="421"/>
    </row>
    <row r="89" spans="4:17" s="3" customFormat="1" ht="14.5">
      <c r="D89" s="155"/>
      <c r="E89" s="218" t="s">
        <v>226</v>
      </c>
      <c r="F89" s="197"/>
      <c r="G89" s="197"/>
      <c r="H89" s="197"/>
      <c r="I89" s="197"/>
      <c r="J89" s="197"/>
      <c r="K89" s="197"/>
      <c r="L89" s="198"/>
      <c r="M89" s="233">
        <v>0</v>
      </c>
      <c r="N89" s="200" t="s">
        <v>202</v>
      </c>
      <c r="O89" s="235">
        <v>7.5</v>
      </c>
      <c r="P89" s="214">
        <f t="shared" si="1"/>
        <v>0</v>
      </c>
      <c r="Q89" s="421"/>
    </row>
    <row r="90" spans="4:17" s="3" customFormat="1" ht="14.5">
      <c r="D90" s="155"/>
      <c r="E90" s="218" t="s">
        <v>227</v>
      </c>
      <c r="F90" s="197"/>
      <c r="G90" s="197"/>
      <c r="H90" s="197"/>
      <c r="I90" s="197"/>
      <c r="J90" s="197"/>
      <c r="K90" s="197"/>
      <c r="L90" s="198"/>
      <c r="M90" s="233">
        <v>1902.7777777777778</v>
      </c>
      <c r="N90" s="200" t="s">
        <v>202</v>
      </c>
      <c r="O90" s="235">
        <v>7.5</v>
      </c>
      <c r="P90" s="214">
        <f t="shared" si="1"/>
        <v>14270.833333333334</v>
      </c>
      <c r="Q90" s="421"/>
    </row>
    <row r="91" spans="4:17" s="3" customFormat="1" ht="14.5">
      <c r="D91" s="155"/>
      <c r="E91" s="203"/>
      <c r="F91" s="197"/>
      <c r="G91" s="197"/>
      <c r="H91" s="197"/>
      <c r="I91" s="197"/>
      <c r="J91" s="197"/>
      <c r="K91" s="197"/>
      <c r="L91" s="198"/>
      <c r="M91" s="199"/>
      <c r="N91" s="200"/>
      <c r="O91" s="222"/>
      <c r="P91" s="214">
        <f t="shared" si="1"/>
        <v>0</v>
      </c>
      <c r="Q91" s="421"/>
    </row>
    <row r="92" spans="4:17" s="3" customFormat="1" ht="14.5">
      <c r="D92" s="155"/>
      <c r="E92" s="215" t="s">
        <v>230</v>
      </c>
      <c r="F92" s="197"/>
      <c r="G92" s="197"/>
      <c r="H92" s="197"/>
      <c r="I92" s="197"/>
      <c r="J92" s="197"/>
      <c r="K92" s="197"/>
      <c r="L92" s="198"/>
      <c r="M92" s="199"/>
      <c r="N92" s="200"/>
      <c r="O92" s="222"/>
      <c r="P92" s="214">
        <f t="shared" si="1"/>
        <v>0</v>
      </c>
      <c r="Q92" s="421"/>
    </row>
    <row r="93" spans="4:17" s="3" customFormat="1" ht="14.5">
      <c r="D93" s="155"/>
      <c r="E93" s="203" t="s">
        <v>231</v>
      </c>
      <c r="F93" s="197"/>
      <c r="G93" s="197"/>
      <c r="H93" s="239">
        <v>46290</v>
      </c>
      <c r="I93" s="197" t="s">
        <v>5</v>
      </c>
      <c r="J93" s="239">
        <v>1500</v>
      </c>
      <c r="K93" s="197" t="s">
        <v>232</v>
      </c>
      <c r="L93" s="198"/>
      <c r="M93" s="199"/>
      <c r="N93" s="200"/>
      <c r="O93" s="222"/>
      <c r="P93" s="214">
        <f t="shared" si="1"/>
        <v>0</v>
      </c>
      <c r="Q93" s="421"/>
    </row>
    <row r="94" spans="4:17" s="3" customFormat="1" ht="14.5">
      <c r="D94" s="155"/>
      <c r="E94" s="203" t="s">
        <v>233</v>
      </c>
      <c r="F94" s="197"/>
      <c r="G94" s="197"/>
      <c r="H94" s="197"/>
      <c r="I94" s="454"/>
      <c r="J94" s="197"/>
      <c r="K94" s="197"/>
      <c r="L94" s="198"/>
      <c r="M94" s="199">
        <v>53790</v>
      </c>
      <c r="N94" s="200" t="s">
        <v>5</v>
      </c>
      <c r="O94" s="222"/>
      <c r="P94" s="214">
        <f t="shared" si="1"/>
        <v>0</v>
      </c>
      <c r="Q94" s="421"/>
    </row>
    <row r="95" spans="4:17" s="3" customFormat="1" ht="14.5">
      <c r="D95" s="155"/>
      <c r="E95" s="203" t="s">
        <v>234</v>
      </c>
      <c r="F95" s="197"/>
      <c r="G95" s="197"/>
      <c r="H95" s="197"/>
      <c r="I95" s="454"/>
      <c r="J95" s="197"/>
      <c r="K95" s="197"/>
      <c r="L95" s="198"/>
      <c r="M95" s="199"/>
      <c r="N95" s="200" t="s">
        <v>212</v>
      </c>
      <c r="O95" s="222">
        <v>3</v>
      </c>
      <c r="P95" s="214">
        <f t="shared" si="1"/>
        <v>0</v>
      </c>
      <c r="Q95" s="421"/>
    </row>
    <row r="96" spans="4:17" s="3" customFormat="1" ht="14.5">
      <c r="D96" s="155"/>
      <c r="E96" s="203" t="s">
        <v>235</v>
      </c>
      <c r="F96" s="197"/>
      <c r="G96" s="197"/>
      <c r="H96" s="197"/>
      <c r="I96" s="454">
        <v>10</v>
      </c>
      <c r="J96" s="197" t="s">
        <v>236</v>
      </c>
      <c r="K96" s="197"/>
      <c r="L96" s="198"/>
      <c r="M96" s="199">
        <v>19922.222222222223</v>
      </c>
      <c r="N96" s="200" t="s">
        <v>212</v>
      </c>
      <c r="O96" s="222">
        <v>3</v>
      </c>
      <c r="P96" s="214">
        <f t="shared" si="1"/>
        <v>59766.666666666672</v>
      </c>
      <c r="Q96" s="421"/>
    </row>
    <row r="97" spans="4:17" s="3" customFormat="1" ht="14.5">
      <c r="D97" s="155"/>
      <c r="E97" s="203" t="s">
        <v>237</v>
      </c>
      <c r="F97" s="197"/>
      <c r="G97" s="197"/>
      <c r="H97" s="197"/>
      <c r="I97" s="454"/>
      <c r="J97" s="197"/>
      <c r="K97" s="197"/>
      <c r="L97" s="198"/>
      <c r="M97" s="199">
        <v>53790</v>
      </c>
      <c r="N97" s="200" t="s">
        <v>5</v>
      </c>
      <c r="O97" s="222">
        <v>0.5</v>
      </c>
      <c r="P97" s="214">
        <f t="shared" si="1"/>
        <v>26895</v>
      </c>
      <c r="Q97" s="421"/>
    </row>
    <row r="98" spans="4:17" s="3" customFormat="1" ht="14.5">
      <c r="D98" s="155"/>
      <c r="E98" s="203" t="s">
        <v>238</v>
      </c>
      <c r="F98" s="197"/>
      <c r="G98" s="197"/>
      <c r="H98" s="197"/>
      <c r="I98" s="454">
        <v>8</v>
      </c>
      <c r="J98" s="197" t="s">
        <v>236</v>
      </c>
      <c r="K98" s="197"/>
      <c r="L98" s="198"/>
      <c r="M98" s="199">
        <v>15937.777777777777</v>
      </c>
      <c r="N98" s="200" t="s">
        <v>212</v>
      </c>
      <c r="O98" s="222">
        <v>3</v>
      </c>
      <c r="P98" s="214">
        <f t="shared" si="1"/>
        <v>47813.333333333328</v>
      </c>
      <c r="Q98" s="421"/>
    </row>
    <row r="99" spans="4:17" s="3" customFormat="1" ht="14.5">
      <c r="D99" s="155"/>
      <c r="E99" s="203" t="s">
        <v>239</v>
      </c>
      <c r="F99" s="197"/>
      <c r="G99" s="197"/>
      <c r="H99" s="197"/>
      <c r="I99" s="454">
        <v>2</v>
      </c>
      <c r="J99" s="197" t="s">
        <v>236</v>
      </c>
      <c r="K99" s="197" t="s">
        <v>240</v>
      </c>
      <c r="L99" s="240">
        <v>0.4</v>
      </c>
      <c r="M99" s="199">
        <v>5578.2222222222217</v>
      </c>
      <c r="N99" s="200" t="s">
        <v>219</v>
      </c>
      <c r="O99" s="222">
        <v>30</v>
      </c>
      <c r="P99" s="214">
        <f>M99*O99</f>
        <v>167346.66666666666</v>
      </c>
      <c r="Q99" s="421"/>
    </row>
    <row r="100" spans="4:17" s="3" customFormat="1" ht="14.5">
      <c r="D100" s="155"/>
      <c r="E100" s="203"/>
      <c r="F100" s="197"/>
      <c r="G100" s="197"/>
      <c r="H100" s="197"/>
      <c r="I100" s="454"/>
      <c r="J100" s="197"/>
      <c r="K100" s="197"/>
      <c r="L100" s="198"/>
      <c r="M100" s="206"/>
      <c r="N100" s="200"/>
      <c r="O100" s="222"/>
      <c r="P100" s="214">
        <f t="shared" si="1"/>
        <v>0</v>
      </c>
      <c r="Q100" s="421"/>
    </row>
    <row r="101" spans="4:17" s="3" customFormat="1" ht="14.5">
      <c r="D101" s="155"/>
      <c r="E101" s="215" t="s">
        <v>242</v>
      </c>
      <c r="F101" s="197"/>
      <c r="G101" s="197"/>
      <c r="H101" s="197"/>
      <c r="I101" s="454"/>
      <c r="J101" s="197"/>
      <c r="K101" s="197"/>
      <c r="L101" s="198"/>
      <c r="M101" s="206"/>
      <c r="N101" s="200"/>
      <c r="O101" s="222"/>
      <c r="P101" s="214">
        <f t="shared" si="1"/>
        <v>0</v>
      </c>
      <c r="Q101" s="421"/>
    </row>
    <row r="102" spans="4:17" s="3" customFormat="1" ht="14.5">
      <c r="D102" s="155"/>
      <c r="E102" s="203" t="s">
        <v>304</v>
      </c>
      <c r="F102" s="197"/>
      <c r="G102" s="197"/>
      <c r="H102" s="197"/>
      <c r="I102" s="197"/>
      <c r="J102" s="197"/>
      <c r="K102" s="197"/>
      <c r="L102" s="198"/>
      <c r="M102" s="199">
        <v>1</v>
      </c>
      <c r="N102" s="200" t="s">
        <v>164</v>
      </c>
      <c r="O102" s="222">
        <v>10000</v>
      </c>
      <c r="P102" s="214">
        <f t="shared" si="1"/>
        <v>10000</v>
      </c>
      <c r="Q102" s="421"/>
    </row>
    <row r="103" spans="4:17" s="3" customFormat="1" ht="14.5">
      <c r="D103" s="155"/>
      <c r="E103" s="203" t="s">
        <v>243</v>
      </c>
      <c r="F103" s="197"/>
      <c r="G103" s="197"/>
      <c r="H103" s="197"/>
      <c r="I103" s="197"/>
      <c r="J103" s="197"/>
      <c r="K103" s="197"/>
      <c r="L103" s="198"/>
      <c r="M103" s="199">
        <v>19440</v>
      </c>
      <c r="N103" s="200" t="s">
        <v>5</v>
      </c>
      <c r="O103" s="222">
        <v>1</v>
      </c>
      <c r="P103" s="214">
        <f t="shared" si="1"/>
        <v>19440</v>
      </c>
      <c r="Q103" s="421"/>
    </row>
    <row r="104" spans="4:17" s="3" customFormat="1" ht="14.5">
      <c r="D104" s="155"/>
      <c r="E104" s="203" t="s">
        <v>244</v>
      </c>
      <c r="F104" s="197"/>
      <c r="G104" s="197"/>
      <c r="H104" s="197"/>
      <c r="I104" s="197"/>
      <c r="J104" s="197"/>
      <c r="K104" s="197"/>
      <c r="L104" s="198"/>
      <c r="M104" s="199">
        <v>0</v>
      </c>
      <c r="N104" s="200" t="s">
        <v>7</v>
      </c>
      <c r="O104" s="222">
        <v>3.5</v>
      </c>
      <c r="P104" s="214">
        <f t="shared" si="1"/>
        <v>0</v>
      </c>
      <c r="Q104" s="421"/>
    </row>
    <row r="105" spans="4:17" s="3" customFormat="1" ht="14.5">
      <c r="D105" s="155"/>
      <c r="E105" s="203" t="s">
        <v>245</v>
      </c>
      <c r="F105" s="197"/>
      <c r="G105" s="197"/>
      <c r="H105" s="197"/>
      <c r="I105" s="197"/>
      <c r="J105" s="197"/>
      <c r="K105" s="197"/>
      <c r="L105" s="198"/>
      <c r="M105" s="199">
        <v>1</v>
      </c>
      <c r="N105" s="200" t="s">
        <v>164</v>
      </c>
      <c r="O105" s="222">
        <v>7500</v>
      </c>
      <c r="P105" s="214">
        <f t="shared" si="1"/>
        <v>7500</v>
      </c>
      <c r="Q105" s="421"/>
    </row>
    <row r="106" spans="4:17" s="3" customFormat="1" ht="14.5">
      <c r="D106" s="155"/>
      <c r="E106" s="203" t="s">
        <v>246</v>
      </c>
      <c r="F106" s="197"/>
      <c r="G106" s="197"/>
      <c r="H106" s="197"/>
      <c r="I106" s="197"/>
      <c r="J106" s="197"/>
      <c r="K106" s="197"/>
      <c r="L106" s="198"/>
      <c r="M106" s="199">
        <v>1</v>
      </c>
      <c r="N106" s="200" t="s">
        <v>164</v>
      </c>
      <c r="O106" s="222">
        <v>7500</v>
      </c>
      <c r="P106" s="214">
        <f t="shared" si="1"/>
        <v>7500</v>
      </c>
      <c r="Q106" s="421"/>
    </row>
    <row r="107" spans="4:17" s="3" customFormat="1" ht="14.5">
      <c r="D107" s="155"/>
      <c r="E107" s="203" t="s">
        <v>247</v>
      </c>
      <c r="F107" s="197"/>
      <c r="G107" s="197"/>
      <c r="H107" s="197"/>
      <c r="I107" s="197"/>
      <c r="J107" s="197"/>
      <c r="K107" s="197"/>
      <c r="L107" s="198"/>
      <c r="M107" s="199">
        <v>1</v>
      </c>
      <c r="N107" s="200" t="s">
        <v>164</v>
      </c>
      <c r="O107" s="222">
        <v>10000</v>
      </c>
      <c r="P107" s="214">
        <f t="shared" si="1"/>
        <v>10000</v>
      </c>
      <c r="Q107" s="421"/>
    </row>
    <row r="108" spans="4:17" s="3" customFormat="1" ht="14.5">
      <c r="D108" s="155"/>
      <c r="E108" s="203" t="s">
        <v>768</v>
      </c>
      <c r="F108" s="197"/>
      <c r="G108" s="197"/>
      <c r="H108" s="197"/>
      <c r="I108" s="197"/>
      <c r="J108" s="197"/>
      <c r="K108" s="197"/>
      <c r="L108" s="198"/>
      <c r="M108" s="199">
        <v>4320</v>
      </c>
      <c r="N108" s="200" t="s">
        <v>5</v>
      </c>
      <c r="O108" s="222">
        <v>4</v>
      </c>
      <c r="P108" s="214">
        <f t="shared" si="1"/>
        <v>17280</v>
      </c>
      <c r="Q108" s="421"/>
    </row>
    <row r="109" spans="4:17" s="3" customFormat="1" ht="14.5">
      <c r="D109" s="155"/>
      <c r="E109" s="196"/>
      <c r="F109" s="197"/>
      <c r="G109" s="197"/>
      <c r="H109" s="197"/>
      <c r="I109" s="197"/>
      <c r="J109" s="197"/>
      <c r="K109" s="197"/>
      <c r="L109" s="198"/>
      <c r="M109" s="199"/>
      <c r="N109" s="200"/>
      <c r="O109" s="222"/>
      <c r="P109" s="214">
        <f t="shared" si="1"/>
        <v>0</v>
      </c>
      <c r="Q109" s="421"/>
    </row>
    <row r="110" spans="4:17" s="3" customFormat="1" ht="14.5">
      <c r="D110" s="155"/>
      <c r="E110" s="179"/>
      <c r="F110" s="180"/>
      <c r="G110" s="180"/>
      <c r="H110" s="180"/>
      <c r="I110" s="180"/>
      <c r="J110" s="180"/>
      <c r="K110" s="180"/>
      <c r="L110" s="181"/>
      <c r="M110" s="182"/>
      <c r="N110" s="183"/>
      <c r="O110" s="184"/>
      <c r="P110" s="185"/>
      <c r="Q110" s="185"/>
    </row>
    <row r="111" spans="4:17" s="4" customFormat="1" ht="14.5">
      <c r="D111" s="148"/>
      <c r="E111" s="202" t="s">
        <v>187</v>
      </c>
      <c r="F111" s="241"/>
      <c r="G111" s="241"/>
      <c r="H111" s="241"/>
      <c r="I111" s="241"/>
      <c r="J111" s="241"/>
      <c r="K111" s="241"/>
      <c r="L111" s="242"/>
      <c r="M111" s="243"/>
      <c r="N111" s="244"/>
      <c r="O111" s="245"/>
      <c r="P111" s="214">
        <f>SUM(P47:P110)</f>
        <v>787491.5731448686</v>
      </c>
      <c r="Q111" s="421"/>
    </row>
    <row r="112" spans="4:17" s="3" customFormat="1" ht="14.5" collapsed="1">
      <c r="D112" s="155"/>
      <c r="E112" s="154"/>
      <c r="F112" s="154"/>
      <c r="G112" s="154"/>
      <c r="H112" s="154"/>
      <c r="I112" s="154"/>
      <c r="J112" s="154"/>
      <c r="K112" s="154"/>
      <c r="L112" s="154"/>
      <c r="M112" s="156"/>
      <c r="N112" s="157"/>
      <c r="O112" s="158"/>
      <c r="P112" s="159"/>
      <c r="Q112" s="160"/>
    </row>
    <row r="113" spans="4:17" s="3" customFormat="1" ht="14.5">
      <c r="D113" s="155"/>
      <c r="E113" s="168" t="str">
        <f>RECAP!F15</f>
        <v xml:space="preserve">TERMITE CONTROL </v>
      </c>
      <c r="F113" s="168"/>
      <c r="G113" s="168"/>
      <c r="H113" s="168"/>
      <c r="I113" s="168"/>
      <c r="J113" s="168"/>
      <c r="K113" s="168"/>
      <c r="L113" s="163"/>
      <c r="M113" s="164"/>
      <c r="N113" s="165"/>
      <c r="O113" s="166"/>
      <c r="P113" s="167"/>
      <c r="Q113" s="167"/>
    </row>
    <row r="114" spans="4:17" s="5" customFormat="1" ht="14.5">
      <c r="D114" s="170"/>
      <c r="E114" s="171"/>
      <c r="F114" s="172"/>
      <c r="G114" s="172" t="s">
        <v>13</v>
      </c>
      <c r="H114" s="172"/>
      <c r="I114" s="172"/>
      <c r="J114" s="172"/>
      <c r="K114" s="172"/>
      <c r="L114" s="173"/>
      <c r="M114" s="174" t="s">
        <v>23</v>
      </c>
      <c r="N114" s="175" t="s">
        <v>151</v>
      </c>
      <c r="O114" s="176" t="s">
        <v>152</v>
      </c>
      <c r="P114" s="177" t="s">
        <v>153</v>
      </c>
      <c r="Q114" s="416" t="s">
        <v>17</v>
      </c>
    </row>
    <row r="115" spans="4:17" s="3" customFormat="1" ht="14.5">
      <c r="D115" s="155"/>
      <c r="E115" s="179"/>
      <c r="F115" s="180"/>
      <c r="G115" s="180"/>
      <c r="H115" s="180"/>
      <c r="I115" s="180"/>
      <c r="J115" s="180"/>
      <c r="K115" s="180"/>
      <c r="L115" s="181"/>
      <c r="M115" s="182"/>
      <c r="N115" s="183"/>
      <c r="O115" s="184"/>
      <c r="P115" s="185"/>
      <c r="Q115" s="417"/>
    </row>
    <row r="116" spans="4:17" s="4" customFormat="1" ht="15" thickBot="1">
      <c r="D116" s="148"/>
      <c r="E116" s="186" t="s">
        <v>154</v>
      </c>
      <c r="F116" s="187"/>
      <c r="G116" s="187"/>
      <c r="H116" s="187"/>
      <c r="I116" s="187"/>
      <c r="J116" s="187"/>
      <c r="K116" s="187"/>
      <c r="L116" s="188"/>
      <c r="M116" s="189"/>
      <c r="N116" s="190"/>
      <c r="O116" s="220"/>
      <c r="P116" s="221">
        <f>M116*O116</f>
        <v>0</v>
      </c>
      <c r="Q116" s="421"/>
    </row>
    <row r="117" spans="4:17" s="3" customFormat="1" ht="15" thickTop="1">
      <c r="D117" s="155"/>
      <c r="E117" s="191"/>
      <c r="F117" s="192"/>
      <c r="G117" s="192"/>
      <c r="H117" s="192"/>
      <c r="I117" s="192"/>
      <c r="J117" s="192"/>
      <c r="K117" s="192"/>
      <c r="L117" s="193"/>
      <c r="M117" s="194"/>
      <c r="N117" s="195"/>
      <c r="O117" s="225"/>
      <c r="P117" s="226">
        <f>M117*O117</f>
        <v>0</v>
      </c>
      <c r="Q117" s="421"/>
    </row>
    <row r="118" spans="4:17" s="3" customFormat="1" ht="14.5">
      <c r="D118" s="155"/>
      <c r="E118" s="196" t="s">
        <v>248</v>
      </c>
      <c r="F118" s="197"/>
      <c r="G118" s="197"/>
      <c r="H118" s="197"/>
      <c r="I118" s="197"/>
      <c r="J118" s="197"/>
      <c r="K118" s="197"/>
      <c r="L118" s="198"/>
      <c r="M118" s="199"/>
      <c r="N118" s="200"/>
      <c r="O118" s="222"/>
      <c r="P118" s="214">
        <f>M118*O118</f>
        <v>0</v>
      </c>
      <c r="Q118" s="421"/>
    </row>
    <row r="119" spans="4:17" s="3" customFormat="1" ht="14.5">
      <c r="D119" s="155"/>
      <c r="E119" s="203" t="s">
        <v>249</v>
      </c>
      <c r="F119" s="197"/>
      <c r="G119" s="197"/>
      <c r="H119" s="197"/>
      <c r="I119" s="197"/>
      <c r="J119" s="197"/>
      <c r="K119" s="197"/>
      <c r="L119" s="198"/>
      <c r="M119" s="199">
        <v>46290</v>
      </c>
      <c r="N119" s="200" t="s">
        <v>5</v>
      </c>
      <c r="O119" s="222">
        <v>0.1</v>
      </c>
      <c r="P119" s="214">
        <f t="shared" ref="P119:P122" si="2">M119*O119</f>
        <v>4629</v>
      </c>
      <c r="Q119" s="421"/>
    </row>
    <row r="120" spans="4:17" s="3" customFormat="1" ht="14.5">
      <c r="D120" s="155"/>
      <c r="E120" s="203" t="s">
        <v>250</v>
      </c>
      <c r="F120" s="197"/>
      <c r="G120" s="197"/>
      <c r="H120" s="197"/>
      <c r="I120" s="197"/>
      <c r="J120" s="197"/>
      <c r="K120" s="197"/>
      <c r="L120" s="198"/>
      <c r="M120" s="199">
        <v>0</v>
      </c>
      <c r="N120" s="200" t="s">
        <v>162</v>
      </c>
      <c r="O120" s="222">
        <v>150</v>
      </c>
      <c r="P120" s="214">
        <f t="shared" si="2"/>
        <v>0</v>
      </c>
      <c r="Q120" s="421"/>
    </row>
    <row r="121" spans="4:17" s="3" customFormat="1" ht="14.5">
      <c r="D121" s="155"/>
      <c r="E121" s="196"/>
      <c r="F121" s="197"/>
      <c r="G121" s="197"/>
      <c r="H121" s="197"/>
      <c r="I121" s="197"/>
      <c r="J121" s="197"/>
      <c r="K121" s="197"/>
      <c r="L121" s="198"/>
      <c r="M121" s="206"/>
      <c r="N121" s="200"/>
      <c r="O121" s="222"/>
      <c r="P121" s="214">
        <f t="shared" si="2"/>
        <v>0</v>
      </c>
      <c r="Q121" s="421"/>
    </row>
    <row r="122" spans="4:17" s="3" customFormat="1" ht="14.5">
      <c r="D122" s="155"/>
      <c r="E122" s="196"/>
      <c r="F122" s="197"/>
      <c r="G122" s="197"/>
      <c r="H122" s="197"/>
      <c r="I122" s="197"/>
      <c r="J122" s="197"/>
      <c r="K122" s="197"/>
      <c r="L122" s="198"/>
      <c r="M122" s="199"/>
      <c r="N122" s="200"/>
      <c r="O122" s="222"/>
      <c r="P122" s="214">
        <f t="shared" si="2"/>
        <v>0</v>
      </c>
      <c r="Q122" s="421"/>
    </row>
    <row r="123" spans="4:17" s="3" customFormat="1" ht="14.5">
      <c r="D123" s="155"/>
      <c r="E123" s="179"/>
      <c r="F123" s="180"/>
      <c r="G123" s="180"/>
      <c r="H123" s="180"/>
      <c r="I123" s="180"/>
      <c r="J123" s="180"/>
      <c r="K123" s="180"/>
      <c r="L123" s="181"/>
      <c r="M123" s="182"/>
      <c r="N123" s="183"/>
      <c r="O123" s="184"/>
      <c r="P123" s="185"/>
      <c r="Q123" s="185"/>
    </row>
    <row r="124" spans="4:17" s="3" customFormat="1" ht="14.5">
      <c r="D124" s="155"/>
      <c r="E124" s="202" t="s">
        <v>187</v>
      </c>
      <c r="F124" s="197"/>
      <c r="G124" s="197"/>
      <c r="H124" s="197"/>
      <c r="I124" s="197"/>
      <c r="J124" s="197"/>
      <c r="K124" s="197"/>
      <c r="L124" s="198"/>
      <c r="M124" s="199"/>
      <c r="N124" s="200"/>
      <c r="O124" s="246"/>
      <c r="P124" s="214">
        <f>SUM(P115:P123)</f>
        <v>4629</v>
      </c>
      <c r="Q124" s="421"/>
    </row>
    <row r="125" spans="4:17" s="3" customFormat="1" ht="14.5" collapsed="1">
      <c r="D125" s="155"/>
      <c r="E125" s="154"/>
      <c r="F125" s="154"/>
      <c r="G125" s="154"/>
      <c r="H125" s="154"/>
      <c r="I125" s="154"/>
      <c r="J125" s="154"/>
      <c r="K125" s="154"/>
      <c r="L125" s="154"/>
      <c r="M125" s="156"/>
      <c r="N125" s="157"/>
      <c r="O125" s="158"/>
      <c r="P125" s="159"/>
      <c r="Q125" s="160"/>
    </row>
    <row r="126" spans="4:17" s="3" customFormat="1" ht="14.5">
      <c r="D126" s="155"/>
      <c r="E126" s="168" t="str">
        <f>RECAP!F16</f>
        <v>SITE UTILITIES</v>
      </c>
      <c r="F126" s="168"/>
      <c r="G126" s="168"/>
      <c r="H126" s="168"/>
      <c r="I126" s="168"/>
      <c r="J126" s="168"/>
      <c r="K126" s="168"/>
      <c r="L126" s="163"/>
      <c r="M126" s="164"/>
      <c r="N126" s="165"/>
      <c r="O126" s="166"/>
      <c r="P126" s="167"/>
      <c r="Q126" s="167"/>
    </row>
    <row r="127" spans="4:17" s="5" customFormat="1" ht="14.5">
      <c r="D127" s="170"/>
      <c r="E127" s="171"/>
      <c r="F127" s="172"/>
      <c r="G127" s="172" t="s">
        <v>13</v>
      </c>
      <c r="H127" s="172"/>
      <c r="I127" s="172"/>
      <c r="J127" s="172"/>
      <c r="K127" s="172"/>
      <c r="L127" s="173"/>
      <c r="M127" s="174" t="s">
        <v>23</v>
      </c>
      <c r="N127" s="175" t="s">
        <v>151</v>
      </c>
      <c r="O127" s="176" t="s">
        <v>152</v>
      </c>
      <c r="P127" s="177" t="s">
        <v>153</v>
      </c>
      <c r="Q127" s="416" t="s">
        <v>17</v>
      </c>
    </row>
    <row r="128" spans="4:17" s="3" customFormat="1" ht="14.5">
      <c r="D128" s="155"/>
      <c r="E128" s="179"/>
      <c r="F128" s="180"/>
      <c r="G128" s="180"/>
      <c r="H128" s="180"/>
      <c r="I128" s="180"/>
      <c r="J128" s="180"/>
      <c r="K128" s="180"/>
      <c r="L128" s="181"/>
      <c r="M128" s="182"/>
      <c r="N128" s="183"/>
      <c r="O128" s="184"/>
      <c r="P128" s="185"/>
      <c r="Q128" s="417"/>
    </row>
    <row r="129" spans="4:17" s="4" customFormat="1" ht="15" thickBot="1">
      <c r="D129" s="148"/>
      <c r="E129" s="186" t="s">
        <v>154</v>
      </c>
      <c r="F129" s="187"/>
      <c r="G129" s="187"/>
      <c r="H129" s="187"/>
      <c r="I129" s="187"/>
      <c r="J129" s="187"/>
      <c r="K129" s="187"/>
      <c r="L129" s="188"/>
      <c r="M129" s="189"/>
      <c r="N129" s="190"/>
      <c r="O129" s="220"/>
      <c r="P129" s="221">
        <f>M129*O129</f>
        <v>0</v>
      </c>
      <c r="Q129" s="421"/>
    </row>
    <row r="130" spans="4:17" s="3" customFormat="1" ht="15" thickTop="1">
      <c r="D130" s="155"/>
      <c r="E130" s="191"/>
      <c r="F130" s="192"/>
      <c r="G130" s="192"/>
      <c r="H130" s="192"/>
      <c r="I130" s="192"/>
      <c r="J130" s="192"/>
      <c r="K130" s="192"/>
      <c r="L130" s="193"/>
      <c r="M130" s="194"/>
      <c r="N130" s="195"/>
      <c r="O130" s="225"/>
      <c r="P130" s="226">
        <f>M130*O130</f>
        <v>0</v>
      </c>
      <c r="Q130" s="421"/>
    </row>
    <row r="131" spans="4:17" s="3" customFormat="1" ht="14.5">
      <c r="D131" s="155"/>
      <c r="E131" s="217" t="s">
        <v>251</v>
      </c>
      <c r="F131" s="197"/>
      <c r="G131" s="197"/>
      <c r="H131" s="197"/>
      <c r="I131" s="197"/>
      <c r="J131" s="197"/>
      <c r="K131" s="197"/>
      <c r="L131" s="198"/>
      <c r="M131" s="199"/>
      <c r="N131" s="200"/>
      <c r="O131" s="222"/>
      <c r="P131" s="214">
        <f t="shared" ref="P131:P194" si="3">M131*O131</f>
        <v>0</v>
      </c>
      <c r="Q131" s="421"/>
    </row>
    <row r="132" spans="4:17" s="3" customFormat="1" ht="14.5">
      <c r="D132" s="155"/>
      <c r="E132" s="247" t="s">
        <v>252</v>
      </c>
      <c r="F132" s="197"/>
      <c r="G132" s="197"/>
      <c r="H132" s="197"/>
      <c r="I132" s="197"/>
      <c r="J132" s="197"/>
      <c r="K132" s="197"/>
      <c r="L132" s="198"/>
      <c r="M132" s="199"/>
      <c r="N132" s="200"/>
      <c r="O132" s="222"/>
      <c r="P132" s="214">
        <f t="shared" si="3"/>
        <v>0</v>
      </c>
      <c r="Q132" s="421"/>
    </row>
    <row r="133" spans="4:17" s="3" customFormat="1" ht="14.5">
      <c r="D133" s="155"/>
      <c r="E133" s="248" t="s">
        <v>253</v>
      </c>
      <c r="F133" s="208"/>
      <c r="G133" s="208"/>
      <c r="H133" s="208"/>
      <c r="I133" s="208"/>
      <c r="J133" s="208"/>
      <c r="K133" s="249"/>
      <c r="L133" s="209"/>
      <c r="M133" s="199"/>
      <c r="N133" s="210" t="s">
        <v>7</v>
      </c>
      <c r="O133" s="250">
        <v>72</v>
      </c>
      <c r="P133" s="214">
        <f t="shared" si="3"/>
        <v>0</v>
      </c>
      <c r="Q133" s="421"/>
    </row>
    <row r="134" spans="4:17" s="3" customFormat="1" ht="14.5">
      <c r="D134" s="155"/>
      <c r="E134" s="248" t="s">
        <v>254</v>
      </c>
      <c r="F134" s="208"/>
      <c r="G134" s="208"/>
      <c r="H134" s="208"/>
      <c r="I134" s="208"/>
      <c r="J134" s="208"/>
      <c r="K134" s="249"/>
      <c r="L134" s="209"/>
      <c r="M134" s="199"/>
      <c r="N134" s="210" t="s">
        <v>7</v>
      </c>
      <c r="O134" s="250">
        <v>60</v>
      </c>
      <c r="P134" s="214">
        <f t="shared" si="3"/>
        <v>0</v>
      </c>
      <c r="Q134" s="421"/>
    </row>
    <row r="135" spans="4:17" s="3" customFormat="1" ht="14.5">
      <c r="D135" s="155"/>
      <c r="E135" s="248" t="s">
        <v>255</v>
      </c>
      <c r="F135" s="208"/>
      <c r="G135" s="208"/>
      <c r="H135" s="208"/>
      <c r="I135" s="208"/>
      <c r="J135" s="208"/>
      <c r="K135" s="249"/>
      <c r="L135" s="209"/>
      <c r="M135" s="199">
        <v>1636</v>
      </c>
      <c r="N135" s="210" t="s">
        <v>7</v>
      </c>
      <c r="O135" s="250">
        <v>105</v>
      </c>
      <c r="P135" s="214">
        <f t="shared" si="3"/>
        <v>171780</v>
      </c>
      <c r="Q135" s="421"/>
    </row>
    <row r="136" spans="4:17" s="3" customFormat="1" ht="14.5">
      <c r="D136" s="155"/>
      <c r="E136" s="248" t="s">
        <v>256</v>
      </c>
      <c r="F136" s="208"/>
      <c r="G136" s="208"/>
      <c r="H136" s="208"/>
      <c r="I136" s="208"/>
      <c r="J136" s="208"/>
      <c r="K136" s="249"/>
      <c r="L136" s="209"/>
      <c r="M136" s="199">
        <f>52+(8*10)</f>
        <v>132</v>
      </c>
      <c r="N136" s="210" t="s">
        <v>7</v>
      </c>
      <c r="O136" s="250">
        <v>85</v>
      </c>
      <c r="P136" s="214">
        <f t="shared" si="3"/>
        <v>11220</v>
      </c>
      <c r="Q136" s="421"/>
    </row>
    <row r="137" spans="4:17" s="3" customFormat="1" ht="14.5">
      <c r="D137" s="155"/>
      <c r="E137" s="251" t="s">
        <v>257</v>
      </c>
      <c r="F137" s="208"/>
      <c r="G137" s="208"/>
      <c r="H137" s="208"/>
      <c r="I137" s="208"/>
      <c r="J137" s="208"/>
      <c r="K137" s="249"/>
      <c r="L137" s="209"/>
      <c r="M137" s="199">
        <v>8</v>
      </c>
      <c r="N137" s="210" t="s">
        <v>162</v>
      </c>
      <c r="O137" s="250">
        <v>5000</v>
      </c>
      <c r="P137" s="214">
        <f t="shared" si="3"/>
        <v>40000</v>
      </c>
      <c r="Q137" s="421"/>
    </row>
    <row r="138" spans="4:17" s="3" customFormat="1" ht="14.5">
      <c r="D138" s="155"/>
      <c r="E138" s="248" t="s">
        <v>258</v>
      </c>
      <c r="F138" s="208"/>
      <c r="G138" s="208"/>
      <c r="H138" s="208"/>
      <c r="I138" s="208"/>
      <c r="J138" s="208"/>
      <c r="K138" s="249"/>
      <c r="L138" s="209"/>
      <c r="M138" s="199">
        <v>150</v>
      </c>
      <c r="N138" s="210" t="s">
        <v>7</v>
      </c>
      <c r="O138" s="250">
        <v>65</v>
      </c>
      <c r="P138" s="214">
        <f t="shared" si="3"/>
        <v>9750</v>
      </c>
      <c r="Q138" s="421"/>
    </row>
    <row r="139" spans="4:17" s="3" customFormat="1" ht="14.5">
      <c r="D139" s="155"/>
      <c r="E139" s="248" t="s">
        <v>259</v>
      </c>
      <c r="F139" s="208"/>
      <c r="G139" s="208"/>
      <c r="H139" s="208"/>
      <c r="I139" s="208"/>
      <c r="J139" s="208"/>
      <c r="K139" s="249"/>
      <c r="L139" s="209"/>
      <c r="M139" s="199">
        <v>1</v>
      </c>
      <c r="N139" s="210" t="s">
        <v>162</v>
      </c>
      <c r="O139" s="250">
        <v>5000</v>
      </c>
      <c r="P139" s="214">
        <f t="shared" si="3"/>
        <v>5000</v>
      </c>
      <c r="Q139" s="421"/>
    </row>
    <row r="140" spans="4:17" s="3" customFormat="1" ht="14.5">
      <c r="D140" s="155"/>
      <c r="E140" s="248" t="s">
        <v>260</v>
      </c>
      <c r="F140" s="208"/>
      <c r="G140" s="208"/>
      <c r="H140" s="208"/>
      <c r="I140" s="208"/>
      <c r="J140" s="208"/>
      <c r="K140" s="249"/>
      <c r="L140" s="209"/>
      <c r="M140" s="199"/>
      <c r="N140" s="210" t="s">
        <v>162</v>
      </c>
      <c r="O140" s="250">
        <v>3500</v>
      </c>
      <c r="P140" s="214">
        <f t="shared" si="3"/>
        <v>0</v>
      </c>
      <c r="Q140" s="421"/>
    </row>
    <row r="141" spans="4:17" s="3" customFormat="1" ht="14.5">
      <c r="D141" s="155"/>
      <c r="E141" s="248" t="s">
        <v>261</v>
      </c>
      <c r="F141" s="208"/>
      <c r="G141" s="208"/>
      <c r="H141" s="208"/>
      <c r="I141" s="208"/>
      <c r="J141" s="208"/>
      <c r="K141" s="249"/>
      <c r="L141" s="209"/>
      <c r="M141" s="199">
        <v>50</v>
      </c>
      <c r="N141" s="210" t="s">
        <v>7</v>
      </c>
      <c r="O141" s="250">
        <v>50</v>
      </c>
      <c r="P141" s="214">
        <f t="shared" si="3"/>
        <v>2500</v>
      </c>
      <c r="Q141" s="421"/>
    </row>
    <row r="142" spans="4:17" s="3" customFormat="1" ht="14.5">
      <c r="D142" s="155"/>
      <c r="E142" s="248" t="s">
        <v>262</v>
      </c>
      <c r="F142" s="208"/>
      <c r="G142" s="208"/>
      <c r="H142" s="208"/>
      <c r="I142" s="208"/>
      <c r="J142" s="208"/>
      <c r="K142" s="249"/>
      <c r="L142" s="209"/>
      <c r="M142" s="199"/>
      <c r="N142" s="210" t="s">
        <v>162</v>
      </c>
      <c r="O142" s="250">
        <v>5000</v>
      </c>
      <c r="P142" s="214">
        <f t="shared" si="3"/>
        <v>0</v>
      </c>
      <c r="Q142" s="421"/>
    </row>
    <row r="143" spans="4:17" s="3" customFormat="1" ht="14.5">
      <c r="D143" s="155"/>
      <c r="E143" s="248" t="s">
        <v>263</v>
      </c>
      <c r="F143" s="208"/>
      <c r="G143" s="208"/>
      <c r="H143" s="208"/>
      <c r="I143" s="208"/>
      <c r="J143" s="208"/>
      <c r="K143" s="249"/>
      <c r="L143" s="209"/>
      <c r="M143" s="199">
        <v>1</v>
      </c>
      <c r="N143" s="210" t="s">
        <v>162</v>
      </c>
      <c r="O143" s="250">
        <v>4500</v>
      </c>
      <c r="P143" s="214">
        <f t="shared" si="3"/>
        <v>4500</v>
      </c>
      <c r="Q143" s="421"/>
    </row>
    <row r="144" spans="4:17" s="3" customFormat="1" ht="14.5">
      <c r="D144" s="155"/>
      <c r="E144" s="251" t="s">
        <v>264</v>
      </c>
      <c r="F144" s="208"/>
      <c r="G144" s="208"/>
      <c r="H144" s="208"/>
      <c r="I144" s="208"/>
      <c r="J144" s="208"/>
      <c r="K144" s="249"/>
      <c r="L144" s="209"/>
      <c r="M144" s="199">
        <v>1</v>
      </c>
      <c r="N144" s="210" t="s">
        <v>162</v>
      </c>
      <c r="O144" s="250">
        <v>6500</v>
      </c>
      <c r="P144" s="214">
        <f t="shared" si="3"/>
        <v>6500</v>
      </c>
      <c r="Q144" s="421"/>
    </row>
    <row r="145" spans="4:17" s="3" customFormat="1" ht="14.5">
      <c r="D145" s="155"/>
      <c r="E145" s="248" t="s">
        <v>265</v>
      </c>
      <c r="F145" s="208"/>
      <c r="G145" s="208"/>
      <c r="H145" s="208"/>
      <c r="I145" s="208"/>
      <c r="J145" s="208"/>
      <c r="K145" s="249"/>
      <c r="L145" s="209"/>
      <c r="M145" s="199"/>
      <c r="N145" s="210" t="s">
        <v>162</v>
      </c>
      <c r="O145" s="250">
        <v>2500</v>
      </c>
      <c r="P145" s="214">
        <f t="shared" si="3"/>
        <v>0</v>
      </c>
      <c r="Q145" s="421"/>
    </row>
    <row r="146" spans="4:17" s="3" customFormat="1" ht="14.5">
      <c r="D146" s="155"/>
      <c r="E146" s="251" t="s">
        <v>266</v>
      </c>
      <c r="F146" s="208"/>
      <c r="G146" s="208"/>
      <c r="H146" s="208"/>
      <c r="I146" s="208"/>
      <c r="J146" s="208"/>
      <c r="K146" s="249"/>
      <c r="L146" s="209"/>
      <c r="M146" s="199"/>
      <c r="N146" s="210" t="s">
        <v>162</v>
      </c>
      <c r="O146" s="250">
        <v>2500</v>
      </c>
      <c r="P146" s="214">
        <f t="shared" si="3"/>
        <v>0</v>
      </c>
      <c r="Q146" s="421"/>
    </row>
    <row r="147" spans="4:17" s="3" customFormat="1" ht="14.5">
      <c r="D147" s="155"/>
      <c r="E147" s="248" t="s">
        <v>267</v>
      </c>
      <c r="F147" s="208"/>
      <c r="G147" s="208"/>
      <c r="H147" s="208"/>
      <c r="I147" s="208"/>
      <c r="J147" s="208"/>
      <c r="K147" s="249"/>
      <c r="L147" s="209"/>
      <c r="M147" s="199">
        <v>12</v>
      </c>
      <c r="N147" s="210" t="s">
        <v>162</v>
      </c>
      <c r="O147" s="250">
        <v>1500</v>
      </c>
      <c r="P147" s="214">
        <f t="shared" si="3"/>
        <v>18000</v>
      </c>
      <c r="Q147" s="421"/>
    </row>
    <row r="148" spans="4:17" s="3" customFormat="1" ht="14.5">
      <c r="D148" s="155"/>
      <c r="E148" s="248" t="s">
        <v>268</v>
      </c>
      <c r="F148" s="208"/>
      <c r="G148" s="208"/>
      <c r="H148" s="208"/>
      <c r="I148" s="208"/>
      <c r="J148" s="208"/>
      <c r="K148" s="249"/>
      <c r="L148" s="209"/>
      <c r="M148" s="199">
        <v>10</v>
      </c>
      <c r="N148" s="210" t="s">
        <v>162</v>
      </c>
      <c r="O148" s="250">
        <v>750</v>
      </c>
      <c r="P148" s="214">
        <f t="shared" si="3"/>
        <v>7500</v>
      </c>
      <c r="Q148" s="421"/>
    </row>
    <row r="149" spans="4:17" s="3" customFormat="1" ht="14.5">
      <c r="D149" s="155"/>
      <c r="E149" s="248" t="s">
        <v>269</v>
      </c>
      <c r="F149" s="208"/>
      <c r="G149" s="208"/>
      <c r="H149" s="208"/>
      <c r="I149" s="208"/>
      <c r="J149" s="208"/>
      <c r="K149" s="249"/>
      <c r="L149" s="209"/>
      <c r="M149" s="199">
        <v>2</v>
      </c>
      <c r="N149" s="210" t="s">
        <v>162</v>
      </c>
      <c r="O149" s="250">
        <v>5000</v>
      </c>
      <c r="P149" s="214">
        <f t="shared" si="3"/>
        <v>10000</v>
      </c>
      <c r="Q149" s="421"/>
    </row>
    <row r="150" spans="4:17" s="3" customFormat="1" ht="14.5">
      <c r="D150" s="155"/>
      <c r="E150" s="248" t="s">
        <v>270</v>
      </c>
      <c r="F150" s="208"/>
      <c r="G150" s="208"/>
      <c r="H150" s="208"/>
      <c r="I150" s="208"/>
      <c r="J150" s="208"/>
      <c r="K150" s="249"/>
      <c r="L150" s="209"/>
      <c r="M150" s="199"/>
      <c r="N150" s="210" t="s">
        <v>7</v>
      </c>
      <c r="O150" s="250">
        <v>250</v>
      </c>
      <c r="P150" s="214">
        <f t="shared" si="3"/>
        <v>0</v>
      </c>
      <c r="Q150" s="421"/>
    </row>
    <row r="151" spans="4:17" s="3" customFormat="1" ht="14.5">
      <c r="D151" s="155"/>
      <c r="E151" s="248" t="s">
        <v>271</v>
      </c>
      <c r="F151" s="208"/>
      <c r="G151" s="208"/>
      <c r="H151" s="208"/>
      <c r="I151" s="208"/>
      <c r="J151" s="208"/>
      <c r="K151" s="249"/>
      <c r="L151" s="209"/>
      <c r="M151" s="199"/>
      <c r="N151" s="210" t="s">
        <v>7</v>
      </c>
      <c r="O151" s="250">
        <v>125</v>
      </c>
      <c r="P151" s="214">
        <f t="shared" si="3"/>
        <v>0</v>
      </c>
      <c r="Q151" s="421"/>
    </row>
    <row r="152" spans="4:17" s="3" customFormat="1" ht="14.5">
      <c r="D152" s="155"/>
      <c r="E152" s="248" t="s">
        <v>272</v>
      </c>
      <c r="F152" s="208"/>
      <c r="G152" s="208"/>
      <c r="H152" s="208"/>
      <c r="I152" s="208"/>
      <c r="J152" s="208"/>
      <c r="K152" s="249"/>
      <c r="L152" s="209"/>
      <c r="M152" s="199"/>
      <c r="N152" s="210" t="s">
        <v>5</v>
      </c>
      <c r="O152" s="250">
        <v>25</v>
      </c>
      <c r="P152" s="214">
        <f t="shared" si="3"/>
        <v>0</v>
      </c>
      <c r="Q152" s="421"/>
    </row>
    <row r="153" spans="4:17" s="3" customFormat="1" ht="14.5">
      <c r="D153" s="155"/>
      <c r="E153" s="196"/>
      <c r="F153" s="197"/>
      <c r="G153" s="197"/>
      <c r="H153" s="197"/>
      <c r="I153" s="197"/>
      <c r="J153" s="197"/>
      <c r="K153" s="197"/>
      <c r="L153" s="198"/>
      <c r="M153" s="206"/>
      <c r="N153" s="200"/>
      <c r="O153" s="222"/>
      <c r="P153" s="214">
        <f t="shared" si="3"/>
        <v>0</v>
      </c>
      <c r="Q153" s="421"/>
    </row>
    <row r="154" spans="4:17" s="3" customFormat="1" ht="14.5">
      <c r="D154" s="155"/>
      <c r="E154" s="247" t="s">
        <v>273</v>
      </c>
      <c r="F154" s="197"/>
      <c r="G154" s="197"/>
      <c r="H154" s="197"/>
      <c r="I154" s="197"/>
      <c r="J154" s="197"/>
      <c r="K154" s="197"/>
      <c r="L154" s="198"/>
      <c r="M154" s="199"/>
      <c r="N154" s="200"/>
      <c r="O154" s="222"/>
      <c r="P154" s="214">
        <f t="shared" si="3"/>
        <v>0</v>
      </c>
      <c r="Q154" s="421"/>
    </row>
    <row r="155" spans="4:17" s="3" customFormat="1" ht="14.5">
      <c r="D155" s="155"/>
      <c r="E155" s="218" t="s">
        <v>809</v>
      </c>
      <c r="F155" s="197"/>
      <c r="G155" s="197"/>
      <c r="H155" s="197"/>
      <c r="I155" s="197"/>
      <c r="J155" s="197"/>
      <c r="K155" s="252"/>
      <c r="L155" s="198"/>
      <c r="M155" s="199">
        <v>198</v>
      </c>
      <c r="N155" s="200" t="s">
        <v>7</v>
      </c>
      <c r="O155" s="222">
        <v>115</v>
      </c>
      <c r="P155" s="214">
        <f t="shared" si="3"/>
        <v>22770</v>
      </c>
      <c r="Q155" s="421"/>
    </row>
    <row r="156" spans="4:17" s="3" customFormat="1" ht="14.5">
      <c r="D156" s="155"/>
      <c r="E156" s="218" t="s">
        <v>810</v>
      </c>
      <c r="F156" s="197"/>
      <c r="G156" s="197"/>
      <c r="H156" s="197"/>
      <c r="I156" s="197"/>
      <c r="J156" s="197"/>
      <c r="K156" s="252"/>
      <c r="L156" s="198"/>
      <c r="M156" s="199">
        <v>282</v>
      </c>
      <c r="N156" s="200" t="s">
        <v>7</v>
      </c>
      <c r="O156" s="222">
        <v>80</v>
      </c>
      <c r="P156" s="214">
        <f t="shared" si="3"/>
        <v>22560</v>
      </c>
      <c r="Q156" s="421"/>
    </row>
    <row r="157" spans="4:17" s="3" customFormat="1" ht="14.5">
      <c r="D157" s="155"/>
      <c r="E157" s="218" t="s">
        <v>274</v>
      </c>
      <c r="F157" s="197"/>
      <c r="G157" s="197"/>
      <c r="H157" s="197"/>
      <c r="I157" s="197"/>
      <c r="J157" s="197"/>
      <c r="K157" s="252"/>
      <c r="L157" s="198"/>
      <c r="M157" s="199"/>
      <c r="N157" s="200" t="s">
        <v>7</v>
      </c>
      <c r="O157" s="222">
        <v>38</v>
      </c>
      <c r="P157" s="214">
        <f t="shared" si="3"/>
        <v>0</v>
      </c>
      <c r="Q157" s="421"/>
    </row>
    <row r="158" spans="4:17" s="3" customFormat="1" ht="14.5">
      <c r="D158" s="155"/>
      <c r="E158" s="218" t="s">
        <v>275</v>
      </c>
      <c r="F158" s="197"/>
      <c r="G158" s="197"/>
      <c r="H158" s="197"/>
      <c r="I158" s="197"/>
      <c r="J158" s="197"/>
      <c r="K158" s="252"/>
      <c r="L158" s="198"/>
      <c r="M158" s="199">
        <v>1</v>
      </c>
      <c r="N158" s="200" t="s">
        <v>162</v>
      </c>
      <c r="O158" s="222">
        <v>9500</v>
      </c>
      <c r="P158" s="214">
        <f t="shared" si="3"/>
        <v>9500</v>
      </c>
      <c r="Q158" s="421"/>
    </row>
    <row r="159" spans="4:17" s="3" customFormat="1" ht="14.5">
      <c r="D159" s="155"/>
      <c r="E159" s="218" t="s">
        <v>276</v>
      </c>
      <c r="F159" s="197"/>
      <c r="G159" s="197"/>
      <c r="H159" s="197"/>
      <c r="I159" s="197"/>
      <c r="J159" s="197"/>
      <c r="K159" s="252"/>
      <c r="L159" s="198"/>
      <c r="M159" s="199"/>
      <c r="N159" s="200" t="s">
        <v>162</v>
      </c>
      <c r="O159" s="222">
        <v>7500</v>
      </c>
      <c r="P159" s="214">
        <f t="shared" si="3"/>
        <v>0</v>
      </c>
      <c r="Q159" s="421"/>
    </row>
    <row r="160" spans="4:17" s="3" customFormat="1" ht="14.5">
      <c r="D160" s="155"/>
      <c r="E160" s="218" t="s">
        <v>277</v>
      </c>
      <c r="F160" s="197"/>
      <c r="G160" s="197"/>
      <c r="H160" s="197"/>
      <c r="I160" s="197"/>
      <c r="J160" s="197"/>
      <c r="K160" s="252"/>
      <c r="L160" s="198"/>
      <c r="M160" s="199">
        <v>2</v>
      </c>
      <c r="N160" s="200" t="s">
        <v>162</v>
      </c>
      <c r="O160" s="222">
        <v>500</v>
      </c>
      <c r="P160" s="214">
        <f t="shared" si="3"/>
        <v>1000</v>
      </c>
      <c r="Q160" s="421"/>
    </row>
    <row r="161" spans="4:17" s="3" customFormat="1" ht="14.5">
      <c r="D161" s="155"/>
      <c r="E161" s="218" t="s">
        <v>278</v>
      </c>
      <c r="F161" s="197"/>
      <c r="G161" s="197"/>
      <c r="H161" s="197"/>
      <c r="I161" s="197"/>
      <c r="J161" s="197"/>
      <c r="K161" s="252"/>
      <c r="L161" s="198"/>
      <c r="M161" s="199"/>
      <c r="N161" s="200" t="s">
        <v>162</v>
      </c>
      <c r="O161" s="222">
        <v>500</v>
      </c>
      <c r="P161" s="214">
        <f t="shared" si="3"/>
        <v>0</v>
      </c>
      <c r="Q161" s="421"/>
    </row>
    <row r="162" spans="4:17" s="3" customFormat="1" ht="14.5">
      <c r="D162" s="155"/>
      <c r="E162" s="218" t="s">
        <v>279</v>
      </c>
      <c r="F162" s="197"/>
      <c r="G162" s="197"/>
      <c r="H162" s="197"/>
      <c r="I162" s="197"/>
      <c r="J162" s="197"/>
      <c r="K162" s="252"/>
      <c r="L162" s="198"/>
      <c r="M162" s="199">
        <v>1</v>
      </c>
      <c r="N162" s="200" t="s">
        <v>162</v>
      </c>
      <c r="O162" s="222">
        <v>2500</v>
      </c>
      <c r="P162" s="214">
        <f t="shared" si="3"/>
        <v>2500</v>
      </c>
      <c r="Q162" s="421"/>
    </row>
    <row r="163" spans="4:17" s="3" customFormat="1" ht="14.5">
      <c r="D163" s="155"/>
      <c r="E163" s="218" t="s">
        <v>280</v>
      </c>
      <c r="F163" s="197"/>
      <c r="G163" s="197"/>
      <c r="H163" s="197"/>
      <c r="I163" s="197"/>
      <c r="J163" s="197"/>
      <c r="K163" s="252"/>
      <c r="L163" s="198"/>
      <c r="M163" s="199">
        <v>3</v>
      </c>
      <c r="N163" s="200" t="s">
        <v>162</v>
      </c>
      <c r="O163" s="222">
        <v>350</v>
      </c>
      <c r="P163" s="214">
        <f t="shared" si="3"/>
        <v>1050</v>
      </c>
      <c r="Q163" s="421"/>
    </row>
    <row r="164" spans="4:17" s="3" customFormat="1" ht="14.5">
      <c r="D164" s="155"/>
      <c r="E164" s="248" t="s">
        <v>655</v>
      </c>
      <c r="F164" s="197"/>
      <c r="G164" s="197"/>
      <c r="H164" s="197"/>
      <c r="I164" s="197"/>
      <c r="J164" s="197"/>
      <c r="K164" s="252"/>
      <c r="L164" s="198"/>
      <c r="M164" s="199"/>
      <c r="N164" s="200" t="s">
        <v>7</v>
      </c>
      <c r="O164" s="222">
        <v>18</v>
      </c>
      <c r="P164" s="214">
        <f t="shared" si="3"/>
        <v>0</v>
      </c>
      <c r="Q164" s="421"/>
    </row>
    <row r="165" spans="4:17" s="3" customFormat="1" ht="14.5">
      <c r="D165" s="155"/>
      <c r="E165" s="196"/>
      <c r="F165" s="197"/>
      <c r="G165" s="197"/>
      <c r="H165" s="197"/>
      <c r="I165" s="197"/>
      <c r="J165" s="197"/>
      <c r="K165" s="197"/>
      <c r="L165" s="198"/>
      <c r="M165" s="206"/>
      <c r="N165" s="200"/>
      <c r="O165" s="222"/>
      <c r="P165" s="214">
        <f t="shared" si="3"/>
        <v>0</v>
      </c>
      <c r="Q165" s="421"/>
    </row>
    <row r="166" spans="4:17" s="3" customFormat="1" ht="14.5">
      <c r="D166" s="155"/>
      <c r="E166" s="247" t="s">
        <v>281</v>
      </c>
      <c r="F166" s="197"/>
      <c r="G166" s="197"/>
      <c r="H166" s="197"/>
      <c r="I166" s="197"/>
      <c r="J166" s="197"/>
      <c r="K166" s="197"/>
      <c r="L166" s="198"/>
      <c r="M166" s="199"/>
      <c r="N166" s="200"/>
      <c r="O166" s="222"/>
      <c r="P166" s="214">
        <f t="shared" si="3"/>
        <v>0</v>
      </c>
      <c r="Q166" s="421"/>
    </row>
    <row r="167" spans="4:17" s="3" customFormat="1" ht="14.5">
      <c r="D167" s="155"/>
      <c r="E167" s="218" t="s">
        <v>282</v>
      </c>
      <c r="F167" s="197"/>
      <c r="G167" s="197" t="s">
        <v>283</v>
      </c>
      <c r="H167" s="197"/>
      <c r="I167" s="197"/>
      <c r="J167" s="197"/>
      <c r="K167" s="197"/>
      <c r="L167" s="198"/>
      <c r="M167" s="199"/>
      <c r="N167" s="200" t="s">
        <v>7</v>
      </c>
      <c r="O167" s="250">
        <v>290</v>
      </c>
      <c r="P167" s="214">
        <f t="shared" si="3"/>
        <v>0</v>
      </c>
      <c r="Q167" s="421"/>
    </row>
    <row r="168" spans="4:17" s="3" customFormat="1" ht="14.5">
      <c r="D168" s="155"/>
      <c r="E168" s="218" t="s">
        <v>284</v>
      </c>
      <c r="F168" s="197"/>
      <c r="G168" s="197" t="s">
        <v>285</v>
      </c>
      <c r="H168" s="197"/>
      <c r="I168" s="197"/>
      <c r="J168" s="197"/>
      <c r="K168" s="197"/>
      <c r="L168" s="198"/>
      <c r="M168" s="199"/>
      <c r="N168" s="200" t="s">
        <v>7</v>
      </c>
      <c r="O168" s="250">
        <v>249</v>
      </c>
      <c r="P168" s="214">
        <f t="shared" si="3"/>
        <v>0</v>
      </c>
      <c r="Q168" s="421"/>
    </row>
    <row r="169" spans="4:17" s="3" customFormat="1" ht="14.5">
      <c r="D169" s="155"/>
      <c r="E169" s="218" t="s">
        <v>286</v>
      </c>
      <c r="F169" s="197"/>
      <c r="G169" s="197" t="s">
        <v>285</v>
      </c>
      <c r="H169" s="197"/>
      <c r="I169" s="197"/>
      <c r="J169" s="197"/>
      <c r="K169" s="197"/>
      <c r="L169" s="198"/>
      <c r="M169" s="199">
        <v>250</v>
      </c>
      <c r="N169" s="200" t="s">
        <v>7</v>
      </c>
      <c r="O169" s="250">
        <v>145</v>
      </c>
      <c r="P169" s="214">
        <f t="shared" si="3"/>
        <v>36250</v>
      </c>
      <c r="Q169" s="421"/>
    </row>
    <row r="170" spans="4:17" s="3" customFormat="1" ht="14.5">
      <c r="D170" s="155"/>
      <c r="E170" s="218" t="s">
        <v>351</v>
      </c>
      <c r="F170" s="197"/>
      <c r="G170" s="197" t="s">
        <v>285</v>
      </c>
      <c r="H170" s="197"/>
      <c r="I170" s="197"/>
      <c r="J170" s="197"/>
      <c r="K170" s="197"/>
      <c r="L170" s="198"/>
      <c r="M170" s="199">
        <v>500</v>
      </c>
      <c r="N170" s="200" t="s">
        <v>7</v>
      </c>
      <c r="O170" s="250">
        <v>130</v>
      </c>
      <c r="P170" s="214">
        <f t="shared" si="3"/>
        <v>65000</v>
      </c>
      <c r="Q170" s="421"/>
    </row>
    <row r="171" spans="4:17" s="3" customFormat="1" ht="14.5">
      <c r="D171" s="155"/>
      <c r="E171" s="218" t="s">
        <v>287</v>
      </c>
      <c r="F171" s="197"/>
      <c r="G171" s="197" t="s">
        <v>285</v>
      </c>
      <c r="H171" s="197"/>
      <c r="I171" s="197"/>
      <c r="J171" s="197"/>
      <c r="K171" s="197"/>
      <c r="L171" s="198"/>
      <c r="M171" s="199">
        <v>750</v>
      </c>
      <c r="N171" s="200" t="s">
        <v>7</v>
      </c>
      <c r="O171" s="250">
        <v>110</v>
      </c>
      <c r="P171" s="214">
        <f t="shared" si="3"/>
        <v>82500</v>
      </c>
      <c r="Q171" s="421"/>
    </row>
    <row r="172" spans="4:17" s="3" customFormat="1" ht="14.5">
      <c r="D172" s="155"/>
      <c r="E172" s="218" t="s">
        <v>288</v>
      </c>
      <c r="F172" s="197"/>
      <c r="G172" s="197" t="s">
        <v>285</v>
      </c>
      <c r="H172" s="197"/>
      <c r="I172" s="197"/>
      <c r="J172" s="197"/>
      <c r="K172" s="197"/>
      <c r="L172" s="198"/>
      <c r="M172" s="199">
        <v>75</v>
      </c>
      <c r="N172" s="200" t="s">
        <v>7</v>
      </c>
      <c r="O172" s="250">
        <v>95</v>
      </c>
      <c r="P172" s="214">
        <f t="shared" si="3"/>
        <v>7125</v>
      </c>
      <c r="Q172" s="421"/>
    </row>
    <row r="173" spans="4:17" s="3" customFormat="1" ht="14.5">
      <c r="D173" s="155"/>
      <c r="E173" s="218" t="s">
        <v>337</v>
      </c>
      <c r="F173" s="197"/>
      <c r="G173" s="197" t="s">
        <v>289</v>
      </c>
      <c r="H173" s="197"/>
      <c r="I173" s="197"/>
      <c r="J173" s="197"/>
      <c r="K173" s="197"/>
      <c r="L173" s="198"/>
      <c r="M173" s="199">
        <v>650</v>
      </c>
      <c r="N173" s="200" t="s">
        <v>7</v>
      </c>
      <c r="O173" s="250">
        <v>65</v>
      </c>
      <c r="P173" s="214">
        <f t="shared" si="3"/>
        <v>42250</v>
      </c>
      <c r="Q173" s="421"/>
    </row>
    <row r="174" spans="4:17" s="3" customFormat="1" ht="14.5">
      <c r="D174" s="155"/>
      <c r="E174" s="218" t="s">
        <v>697</v>
      </c>
      <c r="F174" s="197"/>
      <c r="G174" s="197" t="s">
        <v>289</v>
      </c>
      <c r="H174" s="197"/>
      <c r="I174" s="197"/>
      <c r="J174" s="197"/>
      <c r="K174" s="197"/>
      <c r="L174" s="198"/>
      <c r="M174" s="199"/>
      <c r="N174" s="200" t="s">
        <v>7</v>
      </c>
      <c r="O174" s="250">
        <v>55</v>
      </c>
      <c r="P174" s="214">
        <f t="shared" si="3"/>
        <v>0</v>
      </c>
      <c r="Q174" s="421"/>
    </row>
    <row r="175" spans="4:17" s="3" customFormat="1" ht="14.5">
      <c r="D175" s="155"/>
      <c r="E175" s="248" t="s">
        <v>290</v>
      </c>
      <c r="F175" s="208"/>
      <c r="G175" s="208"/>
      <c r="H175" s="208"/>
      <c r="I175" s="208"/>
      <c r="J175" s="208"/>
      <c r="K175" s="208"/>
      <c r="L175" s="209"/>
      <c r="M175" s="199"/>
      <c r="N175" s="210" t="s">
        <v>162</v>
      </c>
      <c r="O175" s="250">
        <v>4500</v>
      </c>
      <c r="P175" s="214">
        <f t="shared" si="3"/>
        <v>0</v>
      </c>
      <c r="Q175" s="421"/>
    </row>
    <row r="176" spans="4:17" s="3" customFormat="1" ht="14.5">
      <c r="D176" s="155"/>
      <c r="E176" s="248" t="s">
        <v>291</v>
      </c>
      <c r="F176" s="208"/>
      <c r="G176" s="208"/>
      <c r="H176" s="208"/>
      <c r="I176" s="208"/>
      <c r="J176" s="208"/>
      <c r="K176" s="208"/>
      <c r="L176" s="209"/>
      <c r="M176" s="199"/>
      <c r="N176" s="210" t="s">
        <v>162</v>
      </c>
      <c r="O176" s="250">
        <v>4000</v>
      </c>
      <c r="P176" s="214">
        <f t="shared" si="3"/>
        <v>0</v>
      </c>
      <c r="Q176" s="421"/>
    </row>
    <row r="177" spans="4:17" s="3" customFormat="1" ht="14.5">
      <c r="D177" s="155"/>
      <c r="E177" s="248" t="s">
        <v>292</v>
      </c>
      <c r="F177" s="208"/>
      <c r="G177" s="208"/>
      <c r="H177" s="208"/>
      <c r="I177" s="208"/>
      <c r="J177" s="208"/>
      <c r="K177" s="208"/>
      <c r="L177" s="209"/>
      <c r="M177" s="199">
        <v>5</v>
      </c>
      <c r="N177" s="210" t="s">
        <v>162</v>
      </c>
      <c r="O177" s="250">
        <v>3500</v>
      </c>
      <c r="P177" s="214">
        <f t="shared" si="3"/>
        <v>17500</v>
      </c>
      <c r="Q177" s="421"/>
    </row>
    <row r="178" spans="4:17" s="3" customFormat="1" ht="14.5">
      <c r="D178" s="155"/>
      <c r="E178" s="218" t="s">
        <v>293</v>
      </c>
      <c r="F178" s="197"/>
      <c r="G178" s="205" t="s">
        <v>294</v>
      </c>
      <c r="H178" s="197"/>
      <c r="I178" s="197"/>
      <c r="J178" s="197"/>
      <c r="K178" s="197"/>
      <c r="L178" s="198"/>
      <c r="M178" s="199"/>
      <c r="N178" s="200" t="s">
        <v>162</v>
      </c>
      <c r="O178" s="250">
        <v>3000</v>
      </c>
      <c r="P178" s="214">
        <f t="shared" si="3"/>
        <v>0</v>
      </c>
      <c r="Q178" s="421"/>
    </row>
    <row r="179" spans="4:17" s="3" customFormat="1" ht="14.5">
      <c r="D179" s="155"/>
      <c r="E179" s="218" t="s">
        <v>293</v>
      </c>
      <c r="F179" s="197"/>
      <c r="G179" s="205" t="s">
        <v>295</v>
      </c>
      <c r="H179" s="197"/>
      <c r="I179" s="197"/>
      <c r="J179" s="197"/>
      <c r="K179" s="197"/>
      <c r="L179" s="198"/>
      <c r="M179" s="199">
        <v>4</v>
      </c>
      <c r="N179" s="200" t="s">
        <v>162</v>
      </c>
      <c r="O179" s="250">
        <v>6500</v>
      </c>
      <c r="P179" s="214">
        <f t="shared" si="3"/>
        <v>26000</v>
      </c>
      <c r="Q179" s="421"/>
    </row>
    <row r="180" spans="4:17" s="3" customFormat="1" ht="14.5">
      <c r="D180" s="155"/>
      <c r="E180" s="218" t="s">
        <v>293</v>
      </c>
      <c r="F180" s="197"/>
      <c r="G180" s="205" t="s">
        <v>296</v>
      </c>
      <c r="H180" s="197"/>
      <c r="I180" s="197"/>
      <c r="J180" s="197"/>
      <c r="K180" s="197"/>
      <c r="L180" s="198"/>
      <c r="M180" s="199"/>
      <c r="N180" s="200" t="s">
        <v>162</v>
      </c>
      <c r="O180" s="250">
        <v>4715</v>
      </c>
      <c r="P180" s="214">
        <f t="shared" si="3"/>
        <v>0</v>
      </c>
      <c r="Q180" s="421"/>
    </row>
    <row r="181" spans="4:17" s="3" customFormat="1" ht="14.5">
      <c r="D181" s="155"/>
      <c r="E181" s="218" t="s">
        <v>293</v>
      </c>
      <c r="F181" s="197"/>
      <c r="G181" s="205" t="s">
        <v>297</v>
      </c>
      <c r="H181" s="197"/>
      <c r="I181" s="197"/>
      <c r="J181" s="197"/>
      <c r="K181" s="197"/>
      <c r="L181" s="198"/>
      <c r="M181" s="199"/>
      <c r="N181" s="200" t="s">
        <v>162</v>
      </c>
      <c r="O181" s="250">
        <v>6295</v>
      </c>
      <c r="P181" s="214">
        <f t="shared" si="3"/>
        <v>0</v>
      </c>
      <c r="Q181" s="421"/>
    </row>
    <row r="182" spans="4:17" s="3" customFormat="1" ht="14.5">
      <c r="D182" s="155"/>
      <c r="E182" s="248" t="s">
        <v>298</v>
      </c>
      <c r="F182" s="208"/>
      <c r="G182" s="208"/>
      <c r="H182" s="208"/>
      <c r="I182" s="208"/>
      <c r="J182" s="208"/>
      <c r="K182" s="208"/>
      <c r="L182" s="209"/>
      <c r="M182" s="199"/>
      <c r="N182" s="210" t="s">
        <v>162</v>
      </c>
      <c r="O182" s="250">
        <v>3000</v>
      </c>
      <c r="P182" s="214">
        <f t="shared" si="3"/>
        <v>0</v>
      </c>
      <c r="Q182" s="421"/>
    </row>
    <row r="183" spans="4:17" s="3" customFormat="1" ht="14.5">
      <c r="D183" s="155"/>
      <c r="E183" s="248" t="s">
        <v>299</v>
      </c>
      <c r="F183" s="208"/>
      <c r="G183" s="208"/>
      <c r="H183" s="208"/>
      <c r="I183" s="208"/>
      <c r="J183" s="208"/>
      <c r="K183" s="208"/>
      <c r="L183" s="209"/>
      <c r="M183" s="199"/>
      <c r="N183" s="210" t="s">
        <v>162</v>
      </c>
      <c r="O183" s="250">
        <v>3300</v>
      </c>
      <c r="P183" s="214">
        <f t="shared" si="3"/>
        <v>0</v>
      </c>
      <c r="Q183" s="421"/>
    </row>
    <row r="184" spans="4:17" s="3" customFormat="1" ht="14.5">
      <c r="D184" s="155"/>
      <c r="E184" s="248" t="s">
        <v>300</v>
      </c>
      <c r="F184" s="208"/>
      <c r="G184" s="208"/>
      <c r="H184" s="208"/>
      <c r="I184" s="208"/>
      <c r="J184" s="208"/>
      <c r="K184" s="208"/>
      <c r="L184" s="209"/>
      <c r="M184" s="199"/>
      <c r="N184" s="210" t="s">
        <v>162</v>
      </c>
      <c r="O184" s="250">
        <v>3900</v>
      </c>
      <c r="P184" s="214">
        <f t="shared" si="3"/>
        <v>0</v>
      </c>
      <c r="Q184" s="421"/>
    </row>
    <row r="185" spans="4:17" s="3" customFormat="1" ht="14.5">
      <c r="D185" s="155"/>
      <c r="E185" s="248" t="s">
        <v>301</v>
      </c>
      <c r="F185" s="208"/>
      <c r="G185" s="208"/>
      <c r="H185" s="208"/>
      <c r="I185" s="208"/>
      <c r="J185" s="208"/>
      <c r="K185" s="208"/>
      <c r="L185" s="209"/>
      <c r="M185" s="199"/>
      <c r="N185" s="210" t="s">
        <v>162</v>
      </c>
      <c r="O185" s="250">
        <v>5660</v>
      </c>
      <c r="P185" s="214">
        <f t="shared" si="3"/>
        <v>0</v>
      </c>
      <c r="Q185" s="421"/>
    </row>
    <row r="186" spans="4:17" s="3" customFormat="1" ht="14.5">
      <c r="D186" s="155"/>
      <c r="E186" s="248" t="s">
        <v>302</v>
      </c>
      <c r="F186" s="208"/>
      <c r="G186" s="208"/>
      <c r="H186" s="208"/>
      <c r="I186" s="208"/>
      <c r="J186" s="208"/>
      <c r="K186" s="208"/>
      <c r="L186" s="209"/>
      <c r="M186" s="199"/>
      <c r="N186" s="210" t="s">
        <v>162</v>
      </c>
      <c r="O186" s="250">
        <v>6545</v>
      </c>
      <c r="P186" s="214">
        <f t="shared" si="3"/>
        <v>0</v>
      </c>
      <c r="Q186" s="421"/>
    </row>
    <row r="187" spans="4:17" s="3" customFormat="1" ht="14.5">
      <c r="D187" s="155"/>
      <c r="E187" s="248" t="s">
        <v>300</v>
      </c>
      <c r="F187" s="208"/>
      <c r="G187" s="208"/>
      <c r="H187" s="208"/>
      <c r="I187" s="208"/>
      <c r="J187" s="208"/>
      <c r="K187" s="208"/>
      <c r="L187" s="209"/>
      <c r="M187" s="199">
        <v>1</v>
      </c>
      <c r="N187" s="210" t="s">
        <v>162</v>
      </c>
      <c r="O187" s="250">
        <v>9500</v>
      </c>
      <c r="P187" s="214">
        <f t="shared" si="3"/>
        <v>9500</v>
      </c>
      <c r="Q187" s="421"/>
    </row>
    <row r="188" spans="4:17" s="3" customFormat="1" ht="14.5">
      <c r="D188" s="155"/>
      <c r="E188" s="248" t="s">
        <v>303</v>
      </c>
      <c r="F188" s="208"/>
      <c r="G188" s="208"/>
      <c r="H188" s="208"/>
      <c r="I188" s="208"/>
      <c r="J188" s="208"/>
      <c r="K188" s="208"/>
      <c r="L188" s="209"/>
      <c r="M188" s="199">
        <v>30</v>
      </c>
      <c r="N188" s="210" t="s">
        <v>202</v>
      </c>
      <c r="O188" s="250">
        <v>50</v>
      </c>
      <c r="P188" s="214">
        <f t="shared" si="3"/>
        <v>1500</v>
      </c>
      <c r="Q188" s="421"/>
    </row>
    <row r="189" spans="4:17" s="3" customFormat="1" ht="14.5">
      <c r="D189" s="155"/>
      <c r="E189" s="248" t="s">
        <v>280</v>
      </c>
      <c r="F189" s="208"/>
      <c r="G189" s="208"/>
      <c r="H189" s="208"/>
      <c r="I189" s="208"/>
      <c r="J189" s="208"/>
      <c r="K189" s="208"/>
      <c r="L189" s="209"/>
      <c r="M189" s="199">
        <v>15</v>
      </c>
      <c r="N189" s="210" t="s">
        <v>162</v>
      </c>
      <c r="O189" s="250">
        <v>250</v>
      </c>
      <c r="P189" s="214">
        <f t="shared" si="3"/>
        <v>3750</v>
      </c>
      <c r="Q189" s="421"/>
    </row>
    <row r="190" spans="4:17" s="3" customFormat="1" ht="14.5">
      <c r="D190" s="155"/>
      <c r="E190" s="218" t="s">
        <v>279</v>
      </c>
      <c r="F190" s="197"/>
      <c r="G190" s="197"/>
      <c r="H190" s="197"/>
      <c r="I190" s="197"/>
      <c r="J190" s="197"/>
      <c r="K190" s="197"/>
      <c r="L190" s="198"/>
      <c r="M190" s="199">
        <v>2</v>
      </c>
      <c r="N190" s="200" t="s">
        <v>162</v>
      </c>
      <c r="O190" s="222">
        <v>2500</v>
      </c>
      <c r="P190" s="214">
        <f t="shared" si="3"/>
        <v>5000</v>
      </c>
      <c r="Q190" s="421"/>
    </row>
    <row r="191" spans="4:17" s="3" customFormat="1" ht="14.5">
      <c r="D191" s="155"/>
      <c r="E191" s="196"/>
      <c r="F191" s="197"/>
      <c r="G191" s="197"/>
      <c r="H191" s="197"/>
      <c r="I191" s="197"/>
      <c r="J191" s="197"/>
      <c r="K191" s="197"/>
      <c r="L191" s="198"/>
      <c r="M191" s="206"/>
      <c r="N191" s="200"/>
      <c r="O191" s="222"/>
      <c r="P191" s="214">
        <f t="shared" si="3"/>
        <v>0</v>
      </c>
      <c r="Q191" s="421"/>
    </row>
    <row r="192" spans="4:17" s="3" customFormat="1" ht="14.5">
      <c r="D192" s="155"/>
      <c r="E192" s="196"/>
      <c r="F192" s="197"/>
      <c r="G192" s="197"/>
      <c r="H192" s="197"/>
      <c r="I192" s="197"/>
      <c r="J192" s="197"/>
      <c r="K192" s="197"/>
      <c r="L192" s="198"/>
      <c r="M192" s="206"/>
      <c r="N192" s="200"/>
      <c r="O192" s="222"/>
      <c r="P192" s="214">
        <f t="shared" si="3"/>
        <v>0</v>
      </c>
      <c r="Q192" s="421"/>
    </row>
    <row r="193" spans="4:17" s="3" customFormat="1" ht="14.5">
      <c r="D193" s="155"/>
      <c r="E193" s="247" t="s">
        <v>242</v>
      </c>
      <c r="F193" s="197"/>
      <c r="G193" s="197"/>
      <c r="H193" s="197"/>
      <c r="I193" s="197"/>
      <c r="J193" s="197"/>
      <c r="K193" s="197"/>
      <c r="L193" s="198" t="s">
        <v>642</v>
      </c>
      <c r="M193" s="206"/>
      <c r="N193" s="200"/>
      <c r="O193" s="222"/>
      <c r="P193" s="214">
        <f t="shared" si="3"/>
        <v>0</v>
      </c>
      <c r="Q193" s="421"/>
    </row>
    <row r="194" spans="4:17" s="3" customFormat="1" ht="14.5">
      <c r="D194" s="155"/>
      <c r="E194" s="248" t="s">
        <v>304</v>
      </c>
      <c r="F194" s="208"/>
      <c r="G194" s="208"/>
      <c r="H194" s="208"/>
      <c r="I194" s="208"/>
      <c r="J194" s="208"/>
      <c r="K194" s="208"/>
      <c r="L194" s="209"/>
      <c r="M194" s="199">
        <v>1</v>
      </c>
      <c r="N194" s="210" t="s">
        <v>164</v>
      </c>
      <c r="O194" s="250">
        <v>10000</v>
      </c>
      <c r="P194" s="214">
        <f t="shared" si="3"/>
        <v>10000</v>
      </c>
      <c r="Q194" s="421"/>
    </row>
    <row r="195" spans="4:17" s="3" customFormat="1" ht="14.5">
      <c r="D195" s="155"/>
      <c r="E195" s="248" t="s">
        <v>305</v>
      </c>
      <c r="F195" s="208"/>
      <c r="G195" s="208"/>
      <c r="H195" s="208"/>
      <c r="I195" s="208"/>
      <c r="J195" s="208"/>
      <c r="K195" s="249"/>
      <c r="L195" s="209"/>
      <c r="M195" s="199">
        <f>M134+M135+M138+M141+M150+M155+M156+M164+M167+M168+M169+M170+M171+M172+M173+M174+M133+M136+M157</f>
        <v>4673</v>
      </c>
      <c r="N195" s="210" t="s">
        <v>7</v>
      </c>
      <c r="O195" s="250">
        <v>2</v>
      </c>
      <c r="P195" s="214">
        <f t="shared" ref="P195:P201" si="4">M195*O195</f>
        <v>9346</v>
      </c>
      <c r="Q195" s="421"/>
    </row>
    <row r="196" spans="4:17" s="3" customFormat="1" ht="14.5">
      <c r="D196" s="155"/>
      <c r="E196" s="248" t="s">
        <v>306</v>
      </c>
      <c r="F196" s="208"/>
      <c r="G196" s="208"/>
      <c r="H196" s="208"/>
      <c r="I196" s="208"/>
      <c r="J196" s="208"/>
      <c r="K196" s="249"/>
      <c r="L196" s="209"/>
      <c r="M196" s="199">
        <f>M195</f>
        <v>4673</v>
      </c>
      <c r="N196" s="210" t="s">
        <v>7</v>
      </c>
      <c r="O196" s="250">
        <v>1</v>
      </c>
      <c r="P196" s="214">
        <f t="shared" si="4"/>
        <v>4673</v>
      </c>
      <c r="Q196" s="421"/>
    </row>
    <row r="197" spans="4:17" s="3" customFormat="1" ht="14.5">
      <c r="D197" s="155"/>
      <c r="E197" s="248" t="s">
        <v>307</v>
      </c>
      <c r="F197" s="208"/>
      <c r="G197" s="208"/>
      <c r="H197" s="208"/>
      <c r="I197" s="208"/>
      <c r="J197" s="208"/>
      <c r="K197" s="249"/>
      <c r="L197" s="209"/>
      <c r="M197" s="199">
        <f>((M196*3*3)/27)*1.4</f>
        <v>2180.7333333333331</v>
      </c>
      <c r="N197" s="210" t="s">
        <v>343</v>
      </c>
      <c r="O197" s="250">
        <v>15</v>
      </c>
      <c r="P197" s="214">
        <f t="shared" si="4"/>
        <v>32710.999999999996</v>
      </c>
      <c r="Q197" s="421"/>
    </row>
    <row r="198" spans="4:17" s="3" customFormat="1" ht="14.5">
      <c r="D198" s="155"/>
      <c r="E198" s="196" t="s">
        <v>620</v>
      </c>
      <c r="F198" s="197"/>
      <c r="G198" s="197"/>
      <c r="H198" s="197"/>
      <c r="I198" s="197"/>
      <c r="J198" s="197"/>
      <c r="K198" s="197"/>
      <c r="L198" s="198"/>
      <c r="M198" s="199">
        <v>1</v>
      </c>
      <c r="N198" s="200" t="s">
        <v>164</v>
      </c>
      <c r="O198" s="222">
        <v>5000</v>
      </c>
      <c r="P198" s="214">
        <f t="shared" si="4"/>
        <v>5000</v>
      </c>
      <c r="Q198" s="421"/>
    </row>
    <row r="199" spans="4:17" s="3" customFormat="1" ht="14.5">
      <c r="D199" s="155"/>
      <c r="E199" s="196" t="s">
        <v>617</v>
      </c>
      <c r="F199" s="197"/>
      <c r="G199" s="197"/>
      <c r="H199" s="197"/>
      <c r="I199" s="197"/>
      <c r="J199" s="197"/>
      <c r="K199" s="197"/>
      <c r="L199" s="198"/>
      <c r="M199" s="199">
        <v>1</v>
      </c>
      <c r="N199" s="200" t="s">
        <v>164</v>
      </c>
      <c r="O199" s="222">
        <v>7500</v>
      </c>
      <c r="P199" s="214">
        <f t="shared" si="4"/>
        <v>7500</v>
      </c>
      <c r="Q199" s="421"/>
    </row>
    <row r="200" spans="4:17" s="3" customFormat="1" ht="14.5">
      <c r="D200" s="155"/>
      <c r="E200" s="196"/>
      <c r="F200" s="197"/>
      <c r="G200" s="197"/>
      <c r="H200" s="197"/>
      <c r="I200" s="197"/>
      <c r="J200" s="197"/>
      <c r="K200" s="197"/>
      <c r="L200" s="198"/>
      <c r="M200" s="199"/>
      <c r="N200" s="200"/>
      <c r="O200" s="222"/>
      <c r="P200" s="214">
        <f t="shared" si="4"/>
        <v>0</v>
      </c>
      <c r="Q200" s="421"/>
    </row>
    <row r="201" spans="4:17" s="3" customFormat="1" ht="14.5">
      <c r="D201" s="155"/>
      <c r="E201" s="196"/>
      <c r="F201" s="197"/>
      <c r="G201" s="197"/>
      <c r="H201" s="197"/>
      <c r="I201" s="197"/>
      <c r="J201" s="197"/>
      <c r="K201" s="197"/>
      <c r="L201" s="198"/>
      <c r="M201" s="199"/>
      <c r="N201" s="200"/>
      <c r="O201" s="246"/>
      <c r="P201" s="214">
        <f t="shared" si="4"/>
        <v>0</v>
      </c>
      <c r="Q201" s="421"/>
    </row>
    <row r="202" spans="4:17" s="3" customFormat="1" ht="14.5">
      <c r="D202" s="155"/>
      <c r="E202" s="179"/>
      <c r="F202" s="180"/>
      <c r="G202" s="180"/>
      <c r="H202" s="180"/>
      <c r="I202" s="180"/>
      <c r="J202" s="180"/>
      <c r="K202" s="180"/>
      <c r="L202" s="181"/>
      <c r="M202" s="182"/>
      <c r="N202" s="183"/>
      <c r="O202" s="184"/>
      <c r="P202" s="185"/>
      <c r="Q202" s="185"/>
    </row>
    <row r="203" spans="4:17" s="3" customFormat="1" ht="14.5">
      <c r="D203" s="155"/>
      <c r="E203" s="202" t="s">
        <v>187</v>
      </c>
      <c r="F203" s="197"/>
      <c r="G203" s="197"/>
      <c r="H203" s="197"/>
      <c r="I203" s="197"/>
      <c r="J203" s="197"/>
      <c r="K203" s="197"/>
      <c r="L203" s="198"/>
      <c r="M203" s="199"/>
      <c r="N203" s="200"/>
      <c r="O203" s="246"/>
      <c r="P203" s="214">
        <f>SUM(P128:P202)</f>
        <v>711735</v>
      </c>
      <c r="Q203" s="421"/>
    </row>
    <row r="204" spans="4:17" s="3" customFormat="1" ht="14.5" collapsed="1">
      <c r="D204" s="155"/>
      <c r="E204" s="154"/>
      <c r="F204" s="154"/>
      <c r="G204" s="154"/>
      <c r="H204" s="154"/>
      <c r="I204" s="154"/>
      <c r="J204" s="154"/>
      <c r="K204" s="154"/>
      <c r="L204" s="154"/>
      <c r="M204" s="156"/>
      <c r="N204" s="157"/>
      <c r="O204" s="158"/>
      <c r="P204" s="159"/>
      <c r="Q204" s="160"/>
    </row>
    <row r="205" spans="4:17" s="3" customFormat="1" ht="14.5">
      <c r="D205" s="155"/>
      <c r="E205" s="168" t="str">
        <f>RECAP!F17</f>
        <v xml:space="preserve">PAVEMENT MARKINGS </v>
      </c>
      <c r="F205" s="168"/>
      <c r="G205" s="168"/>
      <c r="H205" s="168"/>
      <c r="I205" s="168"/>
      <c r="J205" s="168"/>
      <c r="K205" s="168"/>
      <c r="L205" s="163"/>
      <c r="M205" s="164"/>
      <c r="N205" s="165"/>
      <c r="O205" s="166"/>
      <c r="P205" s="167"/>
      <c r="Q205" s="167"/>
    </row>
    <row r="206" spans="4:17" s="5" customFormat="1" ht="14.5">
      <c r="D206" s="170"/>
      <c r="E206" s="171"/>
      <c r="F206" s="172"/>
      <c r="G206" s="172" t="s">
        <v>13</v>
      </c>
      <c r="H206" s="172"/>
      <c r="I206" s="172"/>
      <c r="J206" s="172"/>
      <c r="K206" s="172"/>
      <c r="L206" s="173"/>
      <c r="M206" s="174" t="s">
        <v>23</v>
      </c>
      <c r="N206" s="175" t="s">
        <v>151</v>
      </c>
      <c r="O206" s="176" t="s">
        <v>152</v>
      </c>
      <c r="P206" s="177" t="s">
        <v>153</v>
      </c>
      <c r="Q206" s="416" t="s">
        <v>17</v>
      </c>
    </row>
    <row r="207" spans="4:17" s="3" customFormat="1" ht="14.5">
      <c r="D207" s="155"/>
      <c r="E207" s="179"/>
      <c r="F207" s="180"/>
      <c r="G207" s="180"/>
      <c r="H207" s="180"/>
      <c r="I207" s="180"/>
      <c r="J207" s="180"/>
      <c r="K207" s="180"/>
      <c r="L207" s="181"/>
      <c r="M207" s="182"/>
      <c r="N207" s="183"/>
      <c r="O207" s="184"/>
      <c r="P207" s="185"/>
      <c r="Q207" s="417"/>
    </row>
    <row r="208" spans="4:17" s="4" customFormat="1" ht="15" thickBot="1">
      <c r="D208" s="148"/>
      <c r="E208" s="186" t="s">
        <v>154</v>
      </c>
      <c r="F208" s="187"/>
      <c r="G208" s="187"/>
      <c r="H208" s="187"/>
      <c r="I208" s="187"/>
      <c r="J208" s="187"/>
      <c r="K208" s="187"/>
      <c r="L208" s="188"/>
      <c r="M208" s="189"/>
      <c r="N208" s="190"/>
      <c r="O208" s="220"/>
      <c r="P208" s="221">
        <f t="shared" ref="P208:P219" si="5">M208*O208</f>
        <v>0</v>
      </c>
      <c r="Q208" s="421"/>
    </row>
    <row r="209" spans="4:17" s="3" customFormat="1" ht="15" thickTop="1">
      <c r="D209" s="155"/>
      <c r="E209" s="191"/>
      <c r="F209" s="192"/>
      <c r="G209" s="192"/>
      <c r="H209" s="192"/>
      <c r="I209" s="192"/>
      <c r="J209" s="192"/>
      <c r="K209" s="192"/>
      <c r="L209" s="193"/>
      <c r="M209" s="194"/>
      <c r="N209" s="195"/>
      <c r="O209" s="253"/>
      <c r="P209" s="226">
        <f t="shared" si="5"/>
        <v>0</v>
      </c>
      <c r="Q209" s="421"/>
    </row>
    <row r="210" spans="4:17" s="3" customFormat="1" ht="14.5">
      <c r="D210" s="155"/>
      <c r="E210" s="254" t="s">
        <v>308</v>
      </c>
      <c r="F210" s="197"/>
      <c r="G210" s="197"/>
      <c r="H210" s="197"/>
      <c r="I210" s="197"/>
      <c r="J210" s="197"/>
      <c r="K210" s="197"/>
      <c r="L210" s="198"/>
      <c r="M210" s="206"/>
      <c r="N210" s="200"/>
      <c r="O210" s="222"/>
      <c r="P210" s="214">
        <f t="shared" si="5"/>
        <v>0</v>
      </c>
      <c r="Q210" s="421"/>
    </row>
    <row r="211" spans="4:17" s="3" customFormat="1" ht="14.5">
      <c r="D211" s="155"/>
      <c r="E211" s="203" t="s">
        <v>309</v>
      </c>
      <c r="F211" s="197"/>
      <c r="G211" s="197"/>
      <c r="H211" s="197"/>
      <c r="I211" s="197"/>
      <c r="J211" s="197"/>
      <c r="K211" s="197"/>
      <c r="L211" s="198"/>
      <c r="M211" s="206">
        <f>M292+M293+M296</f>
        <v>62320</v>
      </c>
      <c r="N211" s="200" t="s">
        <v>5</v>
      </c>
      <c r="O211" s="222">
        <v>0.08</v>
      </c>
      <c r="P211" s="214">
        <f t="shared" si="5"/>
        <v>4985.6000000000004</v>
      </c>
      <c r="Q211" s="421"/>
    </row>
    <row r="212" spans="4:17" s="3" customFormat="1" ht="14.5">
      <c r="D212" s="155"/>
      <c r="E212" s="247" t="s">
        <v>310</v>
      </c>
      <c r="F212" s="197"/>
      <c r="G212" s="197"/>
      <c r="H212" s="197"/>
      <c r="I212" s="197"/>
      <c r="J212" s="197"/>
      <c r="K212" s="197"/>
      <c r="L212" s="198"/>
      <c r="M212" s="206"/>
      <c r="N212" s="200"/>
      <c r="O212" s="222"/>
      <c r="P212" s="214">
        <f t="shared" si="5"/>
        <v>0</v>
      </c>
      <c r="Q212" s="421"/>
    </row>
    <row r="213" spans="4:17" s="3" customFormat="1" ht="14.5">
      <c r="D213" s="155"/>
      <c r="E213" s="218" t="s">
        <v>311</v>
      </c>
      <c r="F213" s="197"/>
      <c r="G213" s="197"/>
      <c r="H213" s="197"/>
      <c r="I213" s="197"/>
      <c r="J213" s="197"/>
      <c r="K213" s="197"/>
      <c r="L213" s="198"/>
      <c r="M213" s="199">
        <v>6</v>
      </c>
      <c r="N213" s="200" t="s">
        <v>162</v>
      </c>
      <c r="O213" s="222">
        <v>200</v>
      </c>
      <c r="P213" s="214">
        <f t="shared" si="5"/>
        <v>1200</v>
      </c>
      <c r="Q213" s="421"/>
    </row>
    <row r="214" spans="4:17" s="3" customFormat="1" ht="14.5">
      <c r="D214" s="155"/>
      <c r="E214" s="218" t="s">
        <v>312</v>
      </c>
      <c r="F214" s="197"/>
      <c r="G214" s="197"/>
      <c r="H214" s="197"/>
      <c r="I214" s="197"/>
      <c r="J214" s="197"/>
      <c r="K214" s="197"/>
      <c r="L214" s="198"/>
      <c r="M214" s="199">
        <v>3</v>
      </c>
      <c r="N214" s="200" t="s">
        <v>162</v>
      </c>
      <c r="O214" s="222">
        <v>200</v>
      </c>
      <c r="P214" s="214">
        <f t="shared" si="5"/>
        <v>600</v>
      </c>
      <c r="Q214" s="421"/>
    </row>
    <row r="215" spans="4:17" s="3" customFormat="1" ht="14.5">
      <c r="D215" s="155"/>
      <c r="E215" s="247" t="s">
        <v>242</v>
      </c>
      <c r="F215" s="197"/>
      <c r="G215" s="197"/>
      <c r="H215" s="197"/>
      <c r="I215" s="197"/>
      <c r="J215" s="197"/>
      <c r="K215" s="197"/>
      <c r="L215" s="198"/>
      <c r="M215" s="199"/>
      <c r="N215" s="200"/>
      <c r="O215" s="222"/>
      <c r="P215" s="214">
        <f t="shared" si="5"/>
        <v>0</v>
      </c>
      <c r="Q215" s="421"/>
    </row>
    <row r="216" spans="4:17" s="3" customFormat="1" ht="14.5">
      <c r="D216" s="155"/>
      <c r="E216" s="218" t="s">
        <v>313</v>
      </c>
      <c r="F216" s="197"/>
      <c r="G216" s="197"/>
      <c r="H216" s="197"/>
      <c r="I216" s="197"/>
      <c r="J216" s="197"/>
      <c r="K216" s="197"/>
      <c r="L216" s="198"/>
      <c r="M216" s="199">
        <v>192</v>
      </c>
      <c r="N216" s="200" t="s">
        <v>162</v>
      </c>
      <c r="O216" s="222">
        <v>75</v>
      </c>
      <c r="P216" s="214">
        <f t="shared" si="5"/>
        <v>14400</v>
      </c>
      <c r="Q216" s="421"/>
    </row>
    <row r="217" spans="4:17" s="3" customFormat="1" ht="14.5">
      <c r="D217" s="155"/>
      <c r="E217" s="218" t="s">
        <v>314</v>
      </c>
      <c r="F217" s="197"/>
      <c r="G217" s="197"/>
      <c r="H217" s="197"/>
      <c r="I217" s="197"/>
      <c r="J217" s="197"/>
      <c r="K217" s="197"/>
      <c r="L217" s="198"/>
      <c r="M217" s="199">
        <f>M211</f>
        <v>62320</v>
      </c>
      <c r="N217" s="200" t="s">
        <v>5</v>
      </c>
      <c r="O217" s="222">
        <v>0.03</v>
      </c>
      <c r="P217" s="214">
        <f t="shared" si="5"/>
        <v>1869.6</v>
      </c>
      <c r="Q217" s="421"/>
    </row>
    <row r="218" spans="4:17" s="3" customFormat="1" ht="14.5">
      <c r="D218" s="155"/>
      <c r="E218" s="215"/>
      <c r="F218" s="197"/>
      <c r="G218" s="197"/>
      <c r="H218" s="197"/>
      <c r="I218" s="197"/>
      <c r="J218" s="197"/>
      <c r="K218" s="197"/>
      <c r="L218" s="198"/>
      <c r="M218" s="199"/>
      <c r="N218" s="200"/>
      <c r="O218" s="222"/>
      <c r="P218" s="214">
        <f t="shared" si="5"/>
        <v>0</v>
      </c>
      <c r="Q218" s="421"/>
    </row>
    <row r="219" spans="4:17" s="3" customFormat="1" ht="14.5">
      <c r="D219" s="155"/>
      <c r="E219" s="196"/>
      <c r="F219" s="197"/>
      <c r="G219" s="197"/>
      <c r="H219" s="197"/>
      <c r="I219" s="197"/>
      <c r="J219" s="197"/>
      <c r="K219" s="197"/>
      <c r="L219" s="198"/>
      <c r="M219" s="199"/>
      <c r="N219" s="200"/>
      <c r="O219" s="222"/>
      <c r="P219" s="214">
        <f t="shared" si="5"/>
        <v>0</v>
      </c>
      <c r="Q219" s="421"/>
    </row>
    <row r="220" spans="4:17" s="3" customFormat="1" ht="14.5">
      <c r="D220" s="155"/>
      <c r="E220" s="179"/>
      <c r="F220" s="180"/>
      <c r="G220" s="180"/>
      <c r="H220" s="180"/>
      <c r="I220" s="180"/>
      <c r="J220" s="180"/>
      <c r="K220" s="180"/>
      <c r="L220" s="181"/>
      <c r="M220" s="182"/>
      <c r="N220" s="183"/>
      <c r="O220" s="184"/>
      <c r="P220" s="185"/>
      <c r="Q220" s="185"/>
    </row>
    <row r="221" spans="4:17" s="3" customFormat="1" ht="14.5">
      <c r="D221" s="155"/>
      <c r="E221" s="202" t="s">
        <v>187</v>
      </c>
      <c r="F221" s="197"/>
      <c r="G221" s="197"/>
      <c r="H221" s="197"/>
      <c r="I221" s="197"/>
      <c r="J221" s="197"/>
      <c r="K221" s="197"/>
      <c r="L221" s="198"/>
      <c r="M221" s="199"/>
      <c r="N221" s="200"/>
      <c r="O221" s="246"/>
      <c r="P221" s="214">
        <f>SUM(P207:P220)</f>
        <v>23055.199999999997</v>
      </c>
      <c r="Q221" s="421"/>
    </row>
    <row r="222" spans="4:17" s="3" customFormat="1" ht="14.5" collapsed="1">
      <c r="D222" s="155"/>
      <c r="E222" s="154"/>
      <c r="F222" s="154"/>
      <c r="G222" s="154"/>
      <c r="H222" s="154"/>
      <c r="I222" s="154"/>
      <c r="J222" s="154"/>
      <c r="K222" s="154"/>
      <c r="L222" s="154"/>
      <c r="M222" s="156"/>
      <c r="N222" s="157"/>
      <c r="O222" s="158"/>
      <c r="P222" s="159"/>
      <c r="Q222" s="160"/>
    </row>
    <row r="223" spans="4:17" s="3" customFormat="1" ht="14.5">
      <c r="D223" s="155"/>
      <c r="E223" s="168" t="str">
        <f>RECAP!F18</f>
        <v xml:space="preserve">FENCING </v>
      </c>
      <c r="F223" s="168"/>
      <c r="G223" s="168"/>
      <c r="H223" s="168"/>
      <c r="I223" s="168"/>
      <c r="J223" s="168"/>
      <c r="K223" s="168"/>
      <c r="L223" s="163"/>
      <c r="M223" s="164"/>
      <c r="N223" s="165"/>
      <c r="O223" s="166"/>
      <c r="P223" s="167"/>
      <c r="Q223" s="167"/>
    </row>
    <row r="224" spans="4:17" s="5" customFormat="1" ht="14.5">
      <c r="D224" s="170"/>
      <c r="E224" s="171"/>
      <c r="F224" s="172"/>
      <c r="G224" s="172" t="s">
        <v>13</v>
      </c>
      <c r="H224" s="172"/>
      <c r="I224" s="172"/>
      <c r="J224" s="172"/>
      <c r="K224" s="172"/>
      <c r="L224" s="173"/>
      <c r="M224" s="174" t="s">
        <v>23</v>
      </c>
      <c r="N224" s="175" t="s">
        <v>151</v>
      </c>
      <c r="O224" s="176" t="s">
        <v>152</v>
      </c>
      <c r="P224" s="177" t="s">
        <v>153</v>
      </c>
      <c r="Q224" s="416" t="s">
        <v>17</v>
      </c>
    </row>
    <row r="225" spans="4:17" s="3" customFormat="1" ht="14.5">
      <c r="D225" s="155"/>
      <c r="E225" s="179"/>
      <c r="F225" s="180"/>
      <c r="G225" s="180"/>
      <c r="H225" s="180"/>
      <c r="I225" s="180"/>
      <c r="J225" s="180"/>
      <c r="K225" s="180"/>
      <c r="L225" s="181"/>
      <c r="M225" s="182"/>
      <c r="N225" s="183"/>
      <c r="O225" s="184"/>
      <c r="P225" s="185"/>
      <c r="Q225" s="417"/>
    </row>
    <row r="226" spans="4:17" s="4" customFormat="1" ht="15" thickBot="1">
      <c r="D226" s="148"/>
      <c r="E226" s="186" t="s">
        <v>154</v>
      </c>
      <c r="F226" s="187"/>
      <c r="G226" s="187"/>
      <c r="H226" s="187"/>
      <c r="I226" s="187"/>
      <c r="J226" s="187"/>
      <c r="K226" s="187"/>
      <c r="L226" s="188"/>
      <c r="M226" s="189"/>
      <c r="N226" s="190"/>
      <c r="O226" s="220"/>
      <c r="P226" s="221">
        <f t="shared" ref="P226:P235" si="6">M226*O226</f>
        <v>0</v>
      </c>
      <c r="Q226" s="421"/>
    </row>
    <row r="227" spans="4:17" s="3" customFormat="1" ht="15" thickTop="1">
      <c r="D227" s="155"/>
      <c r="E227" s="191"/>
      <c r="F227" s="192"/>
      <c r="G227" s="192"/>
      <c r="H227" s="192"/>
      <c r="I227" s="192"/>
      <c r="J227" s="192"/>
      <c r="K227" s="192"/>
      <c r="L227" s="193"/>
      <c r="M227" s="194"/>
      <c r="N227" s="195"/>
      <c r="O227" s="225"/>
      <c r="P227" s="226">
        <f t="shared" si="6"/>
        <v>0</v>
      </c>
      <c r="Q227" s="421"/>
    </row>
    <row r="228" spans="4:17" s="3" customFormat="1" ht="14.5">
      <c r="D228" s="155"/>
      <c r="E228" s="217" t="s">
        <v>132</v>
      </c>
      <c r="F228" s="197"/>
      <c r="G228" s="197"/>
      <c r="H228" s="197"/>
      <c r="I228" s="197"/>
      <c r="J228" s="197"/>
      <c r="K228" s="197"/>
      <c r="L228" s="198"/>
      <c r="M228" s="206"/>
      <c r="N228" s="200"/>
      <c r="O228" s="222"/>
      <c r="P228" s="214">
        <f t="shared" si="6"/>
        <v>0</v>
      </c>
      <c r="Q228" s="421"/>
    </row>
    <row r="229" spans="4:17" s="3" customFormat="1" ht="14.5">
      <c r="D229" s="155"/>
      <c r="E229" s="203" t="s">
        <v>769</v>
      </c>
      <c r="F229" s="197"/>
      <c r="G229" s="197"/>
      <c r="H229" s="197"/>
      <c r="I229" s="197"/>
      <c r="J229" s="197"/>
      <c r="K229" s="197"/>
      <c r="L229" s="198"/>
      <c r="M229" s="199">
        <f>240+1393</f>
        <v>1633</v>
      </c>
      <c r="N229" s="200" t="s">
        <v>7</v>
      </c>
      <c r="O229" s="222">
        <v>175</v>
      </c>
      <c r="P229" s="214">
        <f t="shared" si="6"/>
        <v>285775</v>
      </c>
      <c r="Q229" s="421"/>
    </row>
    <row r="230" spans="4:17" s="3" customFormat="1" ht="14.5">
      <c r="D230" s="155"/>
      <c r="E230" s="218" t="s">
        <v>770</v>
      </c>
      <c r="F230" s="197"/>
      <c r="G230" s="197"/>
      <c r="H230" s="197"/>
      <c r="I230" s="197"/>
      <c r="J230" s="197"/>
      <c r="K230" s="197"/>
      <c r="L230" s="198"/>
      <c r="M230" s="199"/>
      <c r="N230" s="200"/>
      <c r="O230" s="222"/>
      <c r="P230" s="214">
        <f t="shared" si="6"/>
        <v>0</v>
      </c>
      <c r="Q230" s="421"/>
    </row>
    <row r="231" spans="4:17" s="3" customFormat="1" ht="14.5">
      <c r="D231" s="155"/>
      <c r="E231" s="196" t="s">
        <v>808</v>
      </c>
      <c r="F231" s="197"/>
      <c r="G231" s="197"/>
      <c r="H231" s="197"/>
      <c r="I231" s="197"/>
      <c r="J231" s="197"/>
      <c r="K231" s="197"/>
      <c r="L231" s="198"/>
      <c r="M231" s="199">
        <v>3</v>
      </c>
      <c r="N231" s="200" t="s">
        <v>162</v>
      </c>
      <c r="O231" s="222">
        <v>35000</v>
      </c>
      <c r="P231" s="214">
        <f t="shared" si="6"/>
        <v>105000</v>
      </c>
      <c r="Q231" s="421"/>
    </row>
    <row r="232" spans="4:17" s="3" customFormat="1" ht="14.5">
      <c r="D232" s="155"/>
      <c r="E232" s="215" t="s">
        <v>772</v>
      </c>
      <c r="F232" s="197"/>
      <c r="G232" s="197"/>
      <c r="H232" s="197"/>
      <c r="I232" s="197"/>
      <c r="J232" s="197"/>
      <c r="K232" s="197"/>
      <c r="L232" s="198"/>
      <c r="M232" s="199">
        <v>2</v>
      </c>
      <c r="N232" s="200" t="s">
        <v>162</v>
      </c>
      <c r="O232" s="222">
        <v>40000</v>
      </c>
      <c r="P232" s="214">
        <f t="shared" si="6"/>
        <v>80000</v>
      </c>
      <c r="Q232" s="421"/>
    </row>
    <row r="233" spans="4:17" s="3" customFormat="1" ht="14.5">
      <c r="D233" s="155"/>
      <c r="E233" s="203" t="s">
        <v>771</v>
      </c>
      <c r="F233" s="197"/>
      <c r="G233" s="197"/>
      <c r="H233" s="197"/>
      <c r="I233" s="197"/>
      <c r="J233" s="197"/>
      <c r="K233" s="197"/>
      <c r="L233" s="198"/>
      <c r="M233" s="199">
        <v>2</v>
      </c>
      <c r="N233" s="200" t="s">
        <v>162</v>
      </c>
      <c r="O233" s="222">
        <v>7500</v>
      </c>
      <c r="P233" s="214">
        <f t="shared" si="6"/>
        <v>15000</v>
      </c>
      <c r="Q233" s="421"/>
    </row>
    <row r="234" spans="4:17" s="3" customFormat="1" ht="14.5">
      <c r="D234" s="155"/>
      <c r="E234" s="203"/>
      <c r="F234" s="197"/>
      <c r="G234" s="197"/>
      <c r="H234" s="197"/>
      <c r="I234" s="197"/>
      <c r="J234" s="197"/>
      <c r="K234" s="197"/>
      <c r="L234" s="198"/>
      <c r="M234" s="206"/>
      <c r="N234" s="200"/>
      <c r="O234" s="222"/>
      <c r="P234" s="214">
        <f t="shared" si="6"/>
        <v>0</v>
      </c>
      <c r="Q234" s="421"/>
    </row>
    <row r="235" spans="4:17" s="3" customFormat="1" ht="14.5">
      <c r="D235" s="155"/>
      <c r="E235" s="196"/>
      <c r="F235" s="197"/>
      <c r="G235" s="197"/>
      <c r="H235" s="197"/>
      <c r="I235" s="197"/>
      <c r="J235" s="197"/>
      <c r="K235" s="197"/>
      <c r="L235" s="198"/>
      <c r="M235" s="199"/>
      <c r="N235" s="200"/>
      <c r="O235" s="246"/>
      <c r="P235" s="214">
        <f t="shared" si="6"/>
        <v>0</v>
      </c>
      <c r="Q235" s="421"/>
    </row>
    <row r="236" spans="4:17" s="3" customFormat="1" ht="14.5">
      <c r="D236" s="155"/>
      <c r="E236" s="179"/>
      <c r="F236" s="180"/>
      <c r="G236" s="180"/>
      <c r="H236" s="180"/>
      <c r="I236" s="180"/>
      <c r="J236" s="180"/>
      <c r="K236" s="180"/>
      <c r="L236" s="181"/>
      <c r="M236" s="182"/>
      <c r="N236" s="183"/>
      <c r="O236" s="184"/>
      <c r="P236" s="185"/>
      <c r="Q236" s="185"/>
    </row>
    <row r="237" spans="4:17" s="3" customFormat="1" ht="14.5">
      <c r="D237" s="155"/>
      <c r="E237" s="202" t="s">
        <v>187</v>
      </c>
      <c r="F237" s="197"/>
      <c r="G237" s="197"/>
      <c r="H237" s="197"/>
      <c r="I237" s="197"/>
      <c r="J237" s="197"/>
      <c r="K237" s="197"/>
      <c r="L237" s="198"/>
      <c r="M237" s="199"/>
      <c r="N237" s="200"/>
      <c r="O237" s="246"/>
      <c r="P237" s="214">
        <f>SUM(P225:P236)</f>
        <v>485775</v>
      </c>
      <c r="Q237" s="421"/>
    </row>
    <row r="238" spans="4:17" s="3" customFormat="1" ht="14.5">
      <c r="D238" s="155"/>
      <c r="E238" s="154"/>
      <c r="F238" s="154"/>
      <c r="G238" s="154"/>
      <c r="H238" s="154"/>
      <c r="I238" s="154"/>
      <c r="J238" s="154"/>
      <c r="K238" s="154"/>
      <c r="L238" s="154"/>
      <c r="M238" s="156"/>
      <c r="N238" s="157"/>
      <c r="O238" s="158"/>
      <c r="P238" s="159"/>
      <c r="Q238" s="160"/>
    </row>
    <row r="239" spans="4:17" s="3" customFormat="1" ht="14.5">
      <c r="D239" s="155"/>
      <c r="E239" s="168" t="str">
        <f>RECAP!F19</f>
        <v>SITE SPECIALTIES</v>
      </c>
      <c r="F239" s="168"/>
      <c r="G239" s="168"/>
      <c r="H239" s="168"/>
      <c r="I239" s="168"/>
      <c r="J239" s="168"/>
      <c r="K239" s="168"/>
      <c r="L239" s="163"/>
      <c r="M239" s="164"/>
      <c r="N239" s="165"/>
      <c r="O239" s="166"/>
      <c r="P239" s="167"/>
      <c r="Q239" s="167"/>
    </row>
    <row r="240" spans="4:17" s="5" customFormat="1" ht="14.5">
      <c r="D240" s="170"/>
      <c r="E240" s="171"/>
      <c r="F240" s="172"/>
      <c r="G240" s="172" t="s">
        <v>13</v>
      </c>
      <c r="H240" s="172"/>
      <c r="I240" s="172"/>
      <c r="J240" s="172"/>
      <c r="K240" s="172"/>
      <c r="L240" s="173"/>
      <c r="M240" s="174" t="s">
        <v>23</v>
      </c>
      <c r="N240" s="175" t="s">
        <v>151</v>
      </c>
      <c r="O240" s="176" t="s">
        <v>152</v>
      </c>
      <c r="P240" s="177" t="s">
        <v>153</v>
      </c>
      <c r="Q240" s="416" t="s">
        <v>17</v>
      </c>
    </row>
    <row r="241" spans="4:17" s="3" customFormat="1" ht="14.5">
      <c r="D241" s="155"/>
      <c r="E241" s="179"/>
      <c r="F241" s="180"/>
      <c r="G241" s="180"/>
      <c r="H241" s="180"/>
      <c r="I241" s="180"/>
      <c r="J241" s="180"/>
      <c r="K241" s="180"/>
      <c r="L241" s="181"/>
      <c r="M241" s="182"/>
      <c r="N241" s="183"/>
      <c r="O241" s="184"/>
      <c r="P241" s="185"/>
      <c r="Q241" s="417"/>
    </row>
    <row r="242" spans="4:17" s="4" customFormat="1" ht="15" thickBot="1">
      <c r="D242" s="148"/>
      <c r="E242" s="186" t="s">
        <v>154</v>
      </c>
      <c r="F242" s="187"/>
      <c r="G242" s="187"/>
      <c r="H242" s="187"/>
      <c r="I242" s="187"/>
      <c r="J242" s="187"/>
      <c r="K242" s="187"/>
      <c r="L242" s="188"/>
      <c r="M242" s="189"/>
      <c r="N242" s="190"/>
      <c r="O242" s="220"/>
      <c r="P242" s="221">
        <f t="shared" ref="P242:P250" si="7">M242*O242</f>
        <v>0</v>
      </c>
      <c r="Q242" s="421"/>
    </row>
    <row r="243" spans="4:17" s="3" customFormat="1" ht="15" thickTop="1">
      <c r="D243" s="155"/>
      <c r="E243" s="191"/>
      <c r="F243" s="192"/>
      <c r="G243" s="192"/>
      <c r="H243" s="192"/>
      <c r="I243" s="192"/>
      <c r="J243" s="192"/>
      <c r="K243" s="192"/>
      <c r="L243" s="193"/>
      <c r="M243" s="194"/>
      <c r="N243" s="195"/>
      <c r="O243" s="253"/>
      <c r="P243" s="226">
        <f t="shared" si="7"/>
        <v>0</v>
      </c>
      <c r="Q243" s="421"/>
    </row>
    <row r="244" spans="4:17" s="3" customFormat="1" ht="14.5">
      <c r="D244" s="155"/>
      <c r="E244" s="254" t="s">
        <v>315</v>
      </c>
      <c r="F244" s="197"/>
      <c r="G244" s="197"/>
      <c r="H244" s="197"/>
      <c r="I244" s="197"/>
      <c r="J244" s="197"/>
      <c r="K244" s="197"/>
      <c r="L244" s="198"/>
      <c r="M244" s="199"/>
      <c r="N244" s="200"/>
      <c r="O244" s="222"/>
      <c r="P244" s="214">
        <f t="shared" si="7"/>
        <v>0</v>
      </c>
      <c r="Q244" s="421"/>
    </row>
    <row r="245" spans="4:17" s="3" customFormat="1" ht="14.5">
      <c r="D245" s="155"/>
      <c r="E245" s="203" t="s">
        <v>806</v>
      </c>
      <c r="F245" s="197"/>
      <c r="G245" s="197" t="s">
        <v>807</v>
      </c>
      <c r="H245" s="197"/>
      <c r="I245" s="197"/>
      <c r="J245" s="197"/>
      <c r="K245" s="197"/>
      <c r="L245" s="199">
        <v>1393</v>
      </c>
      <c r="M245" s="199"/>
      <c r="N245" s="200" t="s">
        <v>7</v>
      </c>
      <c r="O245" s="222">
        <v>275</v>
      </c>
      <c r="P245" s="214">
        <f t="shared" si="7"/>
        <v>0</v>
      </c>
      <c r="Q245" s="421"/>
    </row>
    <row r="246" spans="4:17" s="3" customFormat="1" ht="14.5">
      <c r="D246" s="155"/>
      <c r="E246" s="203"/>
      <c r="F246" s="197"/>
      <c r="G246" s="197"/>
      <c r="H246" s="197"/>
      <c r="I246" s="197"/>
      <c r="J246" s="197"/>
      <c r="K246" s="197"/>
      <c r="L246" s="198"/>
      <c r="M246" s="199"/>
      <c r="N246" s="200" t="s">
        <v>162</v>
      </c>
      <c r="O246" s="222">
        <v>1200</v>
      </c>
      <c r="P246" s="214">
        <f t="shared" si="7"/>
        <v>0</v>
      </c>
      <c r="Q246" s="421"/>
    </row>
    <row r="247" spans="4:17" s="3" customFormat="1" ht="14.5">
      <c r="D247" s="155"/>
      <c r="E247" s="203"/>
      <c r="F247" s="197"/>
      <c r="G247" s="197"/>
      <c r="H247" s="197"/>
      <c r="I247" s="197"/>
      <c r="J247" s="197"/>
      <c r="K247" s="197"/>
      <c r="L247" s="198"/>
      <c r="M247" s="199"/>
      <c r="N247" s="200" t="s">
        <v>162</v>
      </c>
      <c r="O247" s="222">
        <v>4500</v>
      </c>
      <c r="P247" s="214">
        <f t="shared" si="7"/>
        <v>0</v>
      </c>
      <c r="Q247" s="421"/>
    </row>
    <row r="248" spans="4:17" s="3" customFormat="1" ht="14.5">
      <c r="D248" s="155"/>
      <c r="E248" s="203" t="s">
        <v>778</v>
      </c>
      <c r="F248" s="197"/>
      <c r="G248" s="197"/>
      <c r="H248" s="197"/>
      <c r="I248" s="197"/>
      <c r="J248" s="197"/>
      <c r="K248" s="197"/>
      <c r="L248" s="198"/>
      <c r="M248" s="199"/>
      <c r="N248" s="200" t="s">
        <v>164</v>
      </c>
      <c r="O248" s="222">
        <v>500000</v>
      </c>
      <c r="P248" s="214">
        <f t="shared" si="7"/>
        <v>0</v>
      </c>
      <c r="Q248" s="421"/>
    </row>
    <row r="249" spans="4:17" s="3" customFormat="1" ht="14.5">
      <c r="D249" s="155"/>
      <c r="E249" s="203"/>
      <c r="F249" s="197"/>
      <c r="G249" s="197"/>
      <c r="H249" s="197"/>
      <c r="I249" s="197"/>
      <c r="J249" s="197"/>
      <c r="K249" s="197"/>
      <c r="L249" s="198"/>
      <c r="M249" s="199"/>
      <c r="N249" s="200"/>
      <c r="O249" s="222"/>
      <c r="P249" s="214">
        <f t="shared" si="7"/>
        <v>0</v>
      </c>
      <c r="Q249" s="421"/>
    </row>
    <row r="250" spans="4:17" s="3" customFormat="1" ht="14.5">
      <c r="D250" s="155"/>
      <c r="E250" s="203"/>
      <c r="F250" s="197"/>
      <c r="G250" s="197"/>
      <c r="H250" s="197"/>
      <c r="I250" s="197"/>
      <c r="J250" s="197"/>
      <c r="K250" s="197"/>
      <c r="L250" s="198"/>
      <c r="M250" s="199"/>
      <c r="N250" s="200"/>
      <c r="O250" s="246"/>
      <c r="P250" s="214">
        <f t="shared" si="7"/>
        <v>0</v>
      </c>
      <c r="Q250" s="421"/>
    </row>
    <row r="251" spans="4:17" s="3" customFormat="1" ht="14.5">
      <c r="D251" s="155"/>
      <c r="E251" s="179"/>
      <c r="F251" s="180"/>
      <c r="G251" s="180"/>
      <c r="H251" s="180"/>
      <c r="I251" s="180"/>
      <c r="J251" s="180"/>
      <c r="K251" s="180"/>
      <c r="L251" s="181"/>
      <c r="M251" s="182"/>
      <c r="N251" s="183"/>
      <c r="O251" s="184"/>
      <c r="P251" s="185"/>
      <c r="Q251" s="185"/>
    </row>
    <row r="252" spans="4:17" s="3" customFormat="1" ht="14.5">
      <c r="D252" s="155"/>
      <c r="E252" s="202" t="s">
        <v>187</v>
      </c>
      <c r="F252" s="197"/>
      <c r="G252" s="197"/>
      <c r="H252" s="197"/>
      <c r="I252" s="197"/>
      <c r="J252" s="197"/>
      <c r="K252" s="197"/>
      <c r="L252" s="198"/>
      <c r="M252" s="199"/>
      <c r="N252" s="200"/>
      <c r="O252" s="246"/>
      <c r="P252" s="214">
        <f>SUM(P241:P251)</f>
        <v>0</v>
      </c>
      <c r="Q252" s="421"/>
    </row>
    <row r="253" spans="4:17" s="3" customFormat="1" ht="14.5" collapsed="1">
      <c r="D253" s="155"/>
      <c r="E253" s="154"/>
      <c r="F253" s="154"/>
      <c r="G253" s="154"/>
      <c r="H253" s="154"/>
      <c r="I253" s="154"/>
      <c r="J253" s="154"/>
      <c r="K253" s="154"/>
      <c r="L253" s="154"/>
      <c r="M253" s="156"/>
      <c r="N253" s="157"/>
      <c r="O253" s="158"/>
      <c r="P253" s="159"/>
      <c r="Q253" s="160"/>
    </row>
    <row r="254" spans="4:17" s="3" customFormat="1" ht="14.5">
      <c r="D254" s="155"/>
      <c r="E254" s="168" t="str">
        <f>RECAP!F20</f>
        <v>LANDSCAPING &amp; IRRIGATION</v>
      </c>
      <c r="F254" s="168"/>
      <c r="G254" s="168"/>
      <c r="H254" s="168"/>
      <c r="I254" s="168"/>
      <c r="J254" s="168"/>
      <c r="K254" s="168"/>
      <c r="L254" s="163"/>
      <c r="M254" s="164"/>
      <c r="N254" s="165"/>
      <c r="O254" s="166"/>
      <c r="P254" s="167"/>
      <c r="Q254" s="167"/>
    </row>
    <row r="255" spans="4:17" s="5" customFormat="1" ht="14.5">
      <c r="D255" s="170"/>
      <c r="E255" s="171"/>
      <c r="F255" s="172"/>
      <c r="G255" s="172" t="s">
        <v>13</v>
      </c>
      <c r="H255" s="172"/>
      <c r="I255" s="172"/>
      <c r="J255" s="172"/>
      <c r="K255" s="172"/>
      <c r="L255" s="173"/>
      <c r="M255" s="174" t="s">
        <v>23</v>
      </c>
      <c r="N255" s="175" t="s">
        <v>151</v>
      </c>
      <c r="O255" s="176" t="s">
        <v>152</v>
      </c>
      <c r="P255" s="177" t="s">
        <v>153</v>
      </c>
      <c r="Q255" s="416" t="s">
        <v>17</v>
      </c>
    </row>
    <row r="256" spans="4:17" s="3" customFormat="1" ht="14.5">
      <c r="D256" s="155"/>
      <c r="E256" s="179"/>
      <c r="F256" s="180"/>
      <c r="G256" s="180"/>
      <c r="H256" s="180"/>
      <c r="I256" s="180"/>
      <c r="J256" s="180"/>
      <c r="K256" s="180"/>
      <c r="L256" s="181"/>
      <c r="M256" s="182"/>
      <c r="N256" s="183"/>
      <c r="O256" s="184"/>
      <c r="P256" s="185"/>
      <c r="Q256" s="417"/>
    </row>
    <row r="257" spans="4:17" s="4" customFormat="1" ht="15" thickBot="1">
      <c r="D257" s="148"/>
      <c r="E257" s="186" t="s">
        <v>154</v>
      </c>
      <c r="F257" s="187"/>
      <c r="G257" s="187"/>
      <c r="H257" s="187"/>
      <c r="I257" s="187"/>
      <c r="J257" s="187"/>
      <c r="K257" s="187"/>
      <c r="L257" s="188"/>
      <c r="M257" s="189"/>
      <c r="N257" s="190"/>
      <c r="O257" s="220"/>
      <c r="P257" s="221">
        <f>M257*O257</f>
        <v>0</v>
      </c>
      <c r="Q257" s="421"/>
    </row>
    <row r="258" spans="4:17" s="3" customFormat="1" ht="15" thickTop="1">
      <c r="D258" s="155"/>
      <c r="E258" s="191"/>
      <c r="F258" s="192"/>
      <c r="G258" s="192"/>
      <c r="H258" s="192"/>
      <c r="I258" s="192"/>
      <c r="J258" s="192"/>
      <c r="K258" s="192"/>
      <c r="L258" s="193"/>
      <c r="M258" s="194"/>
      <c r="N258" s="195"/>
      <c r="O258" s="225"/>
      <c r="P258" s="226">
        <f>M258*O258</f>
        <v>0</v>
      </c>
      <c r="Q258" s="421"/>
    </row>
    <row r="259" spans="4:17" s="3" customFormat="1" ht="14.5">
      <c r="D259" s="155"/>
      <c r="E259" s="255" t="s">
        <v>317</v>
      </c>
      <c r="F259" s="197"/>
      <c r="G259" s="197"/>
      <c r="H259" s="197"/>
      <c r="I259" s="197"/>
      <c r="J259" s="197"/>
      <c r="K259" s="197"/>
      <c r="L259" s="198"/>
      <c r="M259" s="206"/>
      <c r="N259" s="200"/>
      <c r="O259" s="222"/>
      <c r="P259" s="214">
        <f t="shared" ref="P259:P276" si="8">M259*O259</f>
        <v>0</v>
      </c>
      <c r="Q259" s="421"/>
    </row>
    <row r="260" spans="4:17" s="3" customFormat="1" ht="14.5">
      <c r="D260" s="155"/>
      <c r="E260" s="256" t="s">
        <v>209</v>
      </c>
      <c r="F260" s="197"/>
      <c r="G260" s="197"/>
      <c r="H260" s="197"/>
      <c r="I260" s="197"/>
      <c r="J260" s="197"/>
      <c r="K260" s="197"/>
      <c r="L260" s="198"/>
      <c r="M260" s="206"/>
      <c r="N260" s="200"/>
      <c r="O260" s="222"/>
      <c r="P260" s="214">
        <f t="shared" si="8"/>
        <v>0</v>
      </c>
      <c r="Q260" s="421"/>
    </row>
    <row r="261" spans="4:17" s="3" customFormat="1" ht="14.5">
      <c r="D261" s="155"/>
      <c r="E261" s="218" t="s">
        <v>643</v>
      </c>
      <c r="F261" s="197"/>
      <c r="G261" s="197" t="s">
        <v>668</v>
      </c>
      <c r="H261" s="197"/>
      <c r="I261" s="197"/>
      <c r="J261" s="197"/>
      <c r="K261" s="197"/>
      <c r="L261" s="198"/>
      <c r="M261" s="199">
        <v>30</v>
      </c>
      <c r="N261" s="200" t="s">
        <v>318</v>
      </c>
      <c r="O261" s="222">
        <v>2200</v>
      </c>
      <c r="P261" s="214">
        <f t="shared" si="8"/>
        <v>66000</v>
      </c>
      <c r="Q261" s="421"/>
    </row>
    <row r="262" spans="4:17" s="3" customFormat="1" ht="14.5">
      <c r="D262" s="155"/>
      <c r="E262" s="218" t="s">
        <v>644</v>
      </c>
      <c r="F262" s="197"/>
      <c r="G262" s="197" t="s">
        <v>669</v>
      </c>
      <c r="H262" s="197"/>
      <c r="I262" s="197"/>
      <c r="J262" s="197"/>
      <c r="K262" s="197"/>
      <c r="L262" s="198"/>
      <c r="M262" s="199">
        <v>10</v>
      </c>
      <c r="N262" s="200" t="s">
        <v>318</v>
      </c>
      <c r="O262" s="222">
        <v>850</v>
      </c>
      <c r="P262" s="214">
        <f t="shared" si="8"/>
        <v>8500</v>
      </c>
      <c r="Q262" s="421"/>
    </row>
    <row r="263" spans="4:17" s="3" customFormat="1" ht="14.5">
      <c r="D263" s="155"/>
      <c r="E263" s="218" t="s">
        <v>670</v>
      </c>
      <c r="F263" s="197"/>
      <c r="G263" s="197" t="s">
        <v>671</v>
      </c>
      <c r="H263" s="197"/>
      <c r="I263" s="197"/>
      <c r="J263" s="197"/>
      <c r="K263" s="197"/>
      <c r="L263" s="198"/>
      <c r="M263" s="199">
        <v>40</v>
      </c>
      <c r="N263" s="200" t="s">
        <v>318</v>
      </c>
      <c r="O263" s="222">
        <v>550</v>
      </c>
      <c r="P263" s="214">
        <f t="shared" si="8"/>
        <v>22000</v>
      </c>
      <c r="Q263" s="421"/>
    </row>
    <row r="264" spans="4:17" s="3" customFormat="1" ht="14.5">
      <c r="D264" s="155"/>
      <c r="E264" s="256" t="s">
        <v>319</v>
      </c>
      <c r="F264" s="197"/>
      <c r="G264" s="197"/>
      <c r="H264" s="208"/>
      <c r="I264" s="208"/>
      <c r="J264" s="208"/>
      <c r="K264" s="208"/>
      <c r="L264" s="209"/>
      <c r="M264" s="199"/>
      <c r="N264" s="200"/>
      <c r="O264" s="222"/>
      <c r="P264" s="214">
        <f t="shared" si="8"/>
        <v>0</v>
      </c>
      <c r="Q264" s="421"/>
    </row>
    <row r="265" spans="4:17" s="3" customFormat="1" ht="14.5">
      <c r="D265" s="155"/>
      <c r="E265" s="218" t="s">
        <v>672</v>
      </c>
      <c r="F265" s="197"/>
      <c r="G265" s="197" t="s">
        <v>699</v>
      </c>
      <c r="H265" s="197"/>
      <c r="I265" s="197"/>
      <c r="J265" s="197"/>
      <c r="K265" s="197"/>
      <c r="L265" s="198"/>
      <c r="M265" s="199">
        <v>400</v>
      </c>
      <c r="N265" s="200" t="s">
        <v>318</v>
      </c>
      <c r="O265" s="222">
        <v>50</v>
      </c>
      <c r="P265" s="214">
        <f t="shared" si="8"/>
        <v>20000</v>
      </c>
      <c r="Q265" s="421"/>
    </row>
    <row r="266" spans="4:17" s="3" customFormat="1" ht="14.5">
      <c r="D266" s="155"/>
      <c r="E266" s="256" t="s">
        <v>320</v>
      </c>
      <c r="F266" s="197"/>
      <c r="G266" s="197"/>
      <c r="H266" s="208"/>
      <c r="I266" s="208"/>
      <c r="J266" s="208"/>
      <c r="K266" s="208"/>
      <c r="L266" s="209"/>
      <c r="M266" s="199"/>
      <c r="N266" s="200"/>
      <c r="O266" s="235"/>
      <c r="P266" s="214">
        <f t="shared" si="8"/>
        <v>0</v>
      </c>
      <c r="Q266" s="421"/>
    </row>
    <row r="267" spans="4:17" s="3" customFormat="1" ht="14.5">
      <c r="D267" s="155"/>
      <c r="E267" s="218" t="s">
        <v>321</v>
      </c>
      <c r="F267" s="197"/>
      <c r="G267" s="197" t="s">
        <v>673</v>
      </c>
      <c r="H267" s="197"/>
      <c r="I267" s="197"/>
      <c r="J267" s="197"/>
      <c r="K267" s="197"/>
      <c r="L267" s="198"/>
      <c r="M267" s="199">
        <v>217235</v>
      </c>
      <c r="N267" s="200" t="s">
        <v>5</v>
      </c>
      <c r="O267" s="235">
        <v>0.65</v>
      </c>
      <c r="P267" s="214">
        <f t="shared" si="8"/>
        <v>141202.75</v>
      </c>
      <c r="Q267" s="421"/>
    </row>
    <row r="268" spans="4:17" s="3" customFormat="1" ht="14.5">
      <c r="D268" s="155"/>
      <c r="E268" s="218" t="s">
        <v>322</v>
      </c>
      <c r="F268" s="197"/>
      <c r="G268" s="197"/>
      <c r="H268" s="197"/>
      <c r="I268" s="197"/>
      <c r="J268" s="197"/>
      <c r="K268" s="197"/>
      <c r="L268" s="198"/>
      <c r="M268" s="199">
        <v>2500</v>
      </c>
      <c r="N268" s="200" t="s">
        <v>5</v>
      </c>
      <c r="O268" s="222">
        <v>3</v>
      </c>
      <c r="P268" s="214">
        <f t="shared" si="8"/>
        <v>7500</v>
      </c>
      <c r="Q268" s="421"/>
    </row>
    <row r="269" spans="4:17" s="3" customFormat="1" ht="14.5">
      <c r="D269" s="155"/>
      <c r="E269" s="218" t="s">
        <v>323</v>
      </c>
      <c r="F269" s="197"/>
      <c r="G269" s="197"/>
      <c r="H269" s="197"/>
      <c r="I269" s="197"/>
      <c r="J269" s="197"/>
      <c r="K269" s="197"/>
      <c r="L269" s="198"/>
      <c r="M269" s="199"/>
      <c r="N269" s="200" t="s">
        <v>5</v>
      </c>
      <c r="O269" s="222">
        <v>0.1</v>
      </c>
      <c r="P269" s="214">
        <f t="shared" si="8"/>
        <v>0</v>
      </c>
      <c r="Q269" s="421"/>
    </row>
    <row r="270" spans="4:17" s="3" customFormat="1" ht="14.5">
      <c r="D270" s="155"/>
      <c r="E270" s="218" t="s">
        <v>658</v>
      </c>
      <c r="F270" s="197"/>
      <c r="G270" s="197"/>
      <c r="H270" s="197"/>
      <c r="I270" s="197"/>
      <c r="J270" s="197"/>
      <c r="K270" s="197"/>
      <c r="L270" s="198"/>
      <c r="M270" s="199">
        <v>2500</v>
      </c>
      <c r="N270" s="200" t="s">
        <v>5</v>
      </c>
      <c r="O270" s="222">
        <v>3</v>
      </c>
      <c r="P270" s="214">
        <f t="shared" si="8"/>
        <v>7500</v>
      </c>
      <c r="Q270" s="421"/>
    </row>
    <row r="271" spans="4:17" s="3" customFormat="1" ht="14.5">
      <c r="D271" s="155"/>
      <c r="E271" s="218" t="s">
        <v>324</v>
      </c>
      <c r="F271" s="197"/>
      <c r="G271" s="197"/>
      <c r="H271" s="197"/>
      <c r="I271" s="197"/>
      <c r="J271" s="197"/>
      <c r="K271" s="197"/>
      <c r="L271" s="198"/>
      <c r="M271" s="199">
        <v>3500</v>
      </c>
      <c r="N271" s="200" t="s">
        <v>5</v>
      </c>
      <c r="O271" s="222">
        <v>4.5</v>
      </c>
      <c r="P271" s="214">
        <f t="shared" si="8"/>
        <v>15750</v>
      </c>
      <c r="Q271" s="421"/>
    </row>
    <row r="272" spans="4:17" s="3" customFormat="1" ht="14.5">
      <c r="D272" s="155"/>
      <c r="E272" s="255" t="s">
        <v>325</v>
      </c>
      <c r="F272" s="197"/>
      <c r="G272" s="197"/>
      <c r="H272" s="197"/>
      <c r="I272" s="208"/>
      <c r="J272" s="208"/>
      <c r="K272" s="208"/>
      <c r="L272" s="209"/>
      <c r="M272" s="199"/>
      <c r="N272" s="200"/>
      <c r="O272" s="222"/>
      <c r="P272" s="214">
        <f t="shared" si="8"/>
        <v>0</v>
      </c>
      <c r="Q272" s="421"/>
    </row>
    <row r="273" spans="1:50" s="3" customFormat="1" ht="14.5">
      <c r="D273" s="155"/>
      <c r="E273" s="218" t="s">
        <v>326</v>
      </c>
      <c r="F273" s="197"/>
      <c r="G273" s="197"/>
      <c r="H273" s="197"/>
      <c r="I273" s="197"/>
      <c r="J273" s="197"/>
      <c r="K273" s="197"/>
      <c r="L273" s="198"/>
      <c r="M273" s="199">
        <f>M267+M270+M271</f>
        <v>223235</v>
      </c>
      <c r="N273" s="200" t="s">
        <v>5</v>
      </c>
      <c r="O273" s="222">
        <v>0.65</v>
      </c>
      <c r="P273" s="214">
        <f t="shared" si="8"/>
        <v>145102.75</v>
      </c>
      <c r="Q273" s="421"/>
    </row>
    <row r="274" spans="1:50" s="3" customFormat="1" ht="14.5">
      <c r="D274" s="155"/>
      <c r="E274" s="218" t="s">
        <v>327</v>
      </c>
      <c r="F274" s="197"/>
      <c r="G274" s="197"/>
      <c r="H274" s="197"/>
      <c r="I274" s="197"/>
      <c r="J274" s="197"/>
      <c r="K274" s="197"/>
      <c r="L274" s="198"/>
      <c r="M274" s="199"/>
      <c r="N274" s="200" t="s">
        <v>5</v>
      </c>
      <c r="O274" s="222">
        <v>0.06</v>
      </c>
      <c r="P274" s="214">
        <f t="shared" si="8"/>
        <v>0</v>
      </c>
      <c r="Q274" s="421"/>
    </row>
    <row r="275" spans="1:50" s="3" customFormat="1" ht="14.5">
      <c r="D275" s="155"/>
      <c r="E275" s="218" t="s">
        <v>328</v>
      </c>
      <c r="F275" s="197"/>
      <c r="G275" s="197"/>
      <c r="H275" s="197"/>
      <c r="I275" s="197"/>
      <c r="J275" s="197"/>
      <c r="K275" s="197"/>
      <c r="L275" s="198"/>
      <c r="M275" s="199">
        <v>1</v>
      </c>
      <c r="N275" s="200" t="s">
        <v>164</v>
      </c>
      <c r="O275" s="222">
        <v>3500</v>
      </c>
      <c r="P275" s="214">
        <f t="shared" si="8"/>
        <v>3500</v>
      </c>
      <c r="Q275" s="421"/>
    </row>
    <row r="276" spans="1:50" s="3" customFormat="1" ht="14.5">
      <c r="D276" s="155"/>
      <c r="E276" s="196"/>
      <c r="F276" s="197"/>
      <c r="G276" s="197"/>
      <c r="H276" s="197"/>
      <c r="I276" s="197"/>
      <c r="J276" s="197"/>
      <c r="K276" s="197"/>
      <c r="L276" s="198"/>
      <c r="M276" s="199"/>
      <c r="N276" s="200"/>
      <c r="O276" s="222"/>
      <c r="P276" s="214">
        <f t="shared" si="8"/>
        <v>0</v>
      </c>
      <c r="Q276" s="421"/>
    </row>
    <row r="277" spans="1:50" s="3" customFormat="1" ht="14.5">
      <c r="D277" s="155"/>
      <c r="E277" s="191"/>
      <c r="F277" s="192"/>
      <c r="G277" s="192"/>
      <c r="H277" s="192"/>
      <c r="I277" s="192"/>
      <c r="J277" s="192"/>
      <c r="K277" s="192"/>
      <c r="L277" s="193"/>
      <c r="M277" s="194"/>
      <c r="N277" s="195"/>
      <c r="O277" s="225"/>
      <c r="P277" s="226">
        <f>M277*O277</f>
        <v>0</v>
      </c>
      <c r="Q277" s="421"/>
    </row>
    <row r="278" spans="1:50" s="3" customFormat="1" ht="14.5">
      <c r="D278" s="155"/>
      <c r="E278" s="179"/>
      <c r="F278" s="180"/>
      <c r="G278" s="180"/>
      <c r="H278" s="180"/>
      <c r="I278" s="180"/>
      <c r="J278" s="180"/>
      <c r="K278" s="180"/>
      <c r="L278" s="181"/>
      <c r="M278" s="182"/>
      <c r="N278" s="183"/>
      <c r="O278" s="184"/>
      <c r="P278" s="185"/>
      <c r="Q278" s="185"/>
    </row>
    <row r="279" spans="1:50" s="3" customFormat="1" ht="14.5">
      <c r="D279" s="155"/>
      <c r="E279" s="202" t="s">
        <v>187</v>
      </c>
      <c r="F279" s="197"/>
      <c r="G279" s="197"/>
      <c r="H279" s="197"/>
      <c r="I279" s="197"/>
      <c r="J279" s="197"/>
      <c r="K279" s="197"/>
      <c r="L279" s="198"/>
      <c r="M279" s="199"/>
      <c r="N279" s="200"/>
      <c r="O279" s="246"/>
      <c r="P279" s="214">
        <f>SUM(P256:P278)</f>
        <v>437055.5</v>
      </c>
      <c r="Q279" s="421"/>
    </row>
    <row r="280" spans="1:50" s="3" customFormat="1" ht="14.5" collapsed="1">
      <c r="D280" s="155"/>
      <c r="E280" s="154"/>
      <c r="F280" s="154"/>
      <c r="G280" s="154"/>
      <c r="H280" s="154"/>
      <c r="I280" s="154"/>
      <c r="J280" s="154"/>
      <c r="K280" s="154"/>
      <c r="L280" s="154"/>
      <c r="M280" s="156"/>
      <c r="N280" s="157"/>
      <c r="O280" s="158"/>
      <c r="P280" s="159"/>
      <c r="Q280" s="160"/>
    </row>
    <row r="281" spans="1:50" ht="14.5">
      <c r="A281" s="6"/>
      <c r="B281" s="6"/>
      <c r="C281" s="6"/>
      <c r="D281" s="148"/>
      <c r="E281" s="147"/>
      <c r="F281" s="147" t="s">
        <v>48</v>
      </c>
      <c r="G281" s="147"/>
      <c r="H281" s="147"/>
      <c r="I281" s="147"/>
      <c r="J281" s="147"/>
      <c r="K281" s="147"/>
      <c r="L281" s="147"/>
      <c r="M281" s="149"/>
      <c r="N281" s="150"/>
      <c r="O281" s="151"/>
      <c r="P281" s="152"/>
      <c r="Q281" s="153"/>
    </row>
    <row r="282" spans="1:50" ht="14">
      <c r="D282" s="155"/>
      <c r="E282" s="154"/>
      <c r="F282" s="154"/>
      <c r="G282" s="154"/>
      <c r="H282" s="154"/>
      <c r="I282" s="154"/>
      <c r="J282" s="154"/>
      <c r="K282" s="154"/>
      <c r="L282" s="154"/>
      <c r="M282" s="156"/>
      <c r="N282" s="157"/>
      <c r="O282" s="158"/>
      <c r="P282" s="159"/>
      <c r="Q282" s="160"/>
    </row>
    <row r="283" spans="1:50" ht="14">
      <c r="D283" s="155"/>
      <c r="E283" s="261"/>
      <c r="F283" s="258"/>
      <c r="G283" s="258"/>
      <c r="H283" s="258"/>
      <c r="I283" s="258"/>
      <c r="J283" s="258"/>
      <c r="K283" s="258"/>
      <c r="L283" s="259"/>
      <c r="M283" s="259"/>
      <c r="N283" s="259"/>
      <c r="O283" s="259"/>
      <c r="P283" s="259"/>
      <c r="Q283" s="259"/>
    </row>
    <row r="284" spans="1:50" ht="14">
      <c r="D284" s="155"/>
      <c r="E284" s="261" t="str">
        <f>RECAP!F22</f>
        <v>CONCRETE</v>
      </c>
      <c r="F284" s="261"/>
      <c r="G284" s="261"/>
      <c r="H284" s="261"/>
      <c r="I284" s="261"/>
      <c r="J284" s="261"/>
      <c r="K284" s="261"/>
      <c r="L284" s="259"/>
      <c r="M284" s="259"/>
      <c r="N284" s="259"/>
      <c r="O284" s="259"/>
      <c r="P284" s="259"/>
      <c r="Q284" s="259"/>
    </row>
    <row r="285" spans="1:50" ht="14">
      <c r="D285" s="155"/>
      <c r="E285" s="154"/>
      <c r="F285" s="154"/>
      <c r="G285" s="154"/>
      <c r="H285" s="154"/>
      <c r="I285" s="154"/>
      <c r="J285" s="154"/>
      <c r="K285" s="154"/>
      <c r="L285" s="154"/>
      <c r="M285" s="156"/>
      <c r="N285" s="157"/>
      <c r="O285" s="158"/>
      <c r="P285" s="159"/>
      <c r="Q285" s="160"/>
    </row>
    <row r="286" spans="1:50" s="10" customFormat="1" ht="14">
      <c r="A286"/>
      <c r="B286"/>
      <c r="C286"/>
      <c r="D286" s="170"/>
      <c r="E286" s="171"/>
      <c r="F286" s="172"/>
      <c r="G286" s="172" t="s">
        <v>13</v>
      </c>
      <c r="H286" s="172"/>
      <c r="I286" s="172"/>
      <c r="J286" s="172"/>
      <c r="K286" s="172"/>
      <c r="L286" s="173"/>
      <c r="M286" s="174" t="s">
        <v>23</v>
      </c>
      <c r="N286" s="175" t="s">
        <v>151</v>
      </c>
      <c r="O286" s="176" t="s">
        <v>152</v>
      </c>
      <c r="P286" s="177" t="s">
        <v>153</v>
      </c>
      <c r="Q286" s="416" t="s">
        <v>17</v>
      </c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</row>
    <row r="287" spans="1:50" s="10" customFormat="1" ht="14">
      <c r="A287"/>
      <c r="B287"/>
      <c r="C287"/>
      <c r="D287" s="155"/>
      <c r="E287" s="179"/>
      <c r="F287" s="180"/>
      <c r="G287" s="180"/>
      <c r="H287" s="180"/>
      <c r="I287" s="180"/>
      <c r="J287" s="180"/>
      <c r="K287" s="180"/>
      <c r="L287" s="181"/>
      <c r="M287" s="182"/>
      <c r="N287" s="183"/>
      <c r="O287" s="184"/>
      <c r="P287" s="185"/>
      <c r="Q287" s="41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</row>
    <row r="288" spans="1:50" s="10" customFormat="1" ht="14.5" thickBot="1">
      <c r="A288"/>
      <c r="B288"/>
      <c r="C288"/>
      <c r="D288" s="148"/>
      <c r="E288" s="186" t="s">
        <v>154</v>
      </c>
      <c r="F288" s="187"/>
      <c r="G288" s="187"/>
      <c r="H288" s="187"/>
      <c r="I288" s="187"/>
      <c r="J288" s="187"/>
      <c r="K288" s="187"/>
      <c r="L288" s="188"/>
      <c r="M288" s="189"/>
      <c r="N288" s="190"/>
      <c r="O288" s="220"/>
      <c r="P288" s="221">
        <f>M288*O288</f>
        <v>0</v>
      </c>
      <c r="Q288" s="421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</row>
    <row r="289" spans="1:50" s="10" customFormat="1" ht="14.5" thickTop="1">
      <c r="A289"/>
      <c r="B289"/>
      <c r="C289"/>
      <c r="D289" s="155"/>
      <c r="E289" s="191"/>
      <c r="F289" s="192"/>
      <c r="G289" s="192"/>
      <c r="H289" s="192"/>
      <c r="I289" s="192"/>
      <c r="J289" s="192"/>
      <c r="K289" s="192"/>
      <c r="L289" s="193"/>
      <c r="M289" s="194"/>
      <c r="N289" s="195"/>
      <c r="O289" s="225"/>
      <c r="P289" s="226">
        <f>M289*O289</f>
        <v>0</v>
      </c>
      <c r="Q289" s="421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</row>
    <row r="290" spans="1:50" s="10" customFormat="1" ht="14">
      <c r="A290"/>
      <c r="B290"/>
      <c r="C290"/>
      <c r="D290" s="155"/>
      <c r="E290" s="262" t="s">
        <v>329</v>
      </c>
      <c r="F290" s="192"/>
      <c r="G290" s="192"/>
      <c r="H290" s="263"/>
      <c r="I290" s="263"/>
      <c r="J290" s="263"/>
      <c r="K290" s="263"/>
      <c r="L290" s="193"/>
      <c r="M290" s="264"/>
      <c r="N290" s="195"/>
      <c r="O290" s="253"/>
      <c r="P290" s="214">
        <f>M290*O290</f>
        <v>0</v>
      </c>
      <c r="Q290" s="421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</row>
    <row r="291" spans="1:50" s="10" customFormat="1" ht="14">
      <c r="A291"/>
      <c r="B291"/>
      <c r="C291"/>
      <c r="D291" s="155"/>
      <c r="E291" s="196" t="s">
        <v>330</v>
      </c>
      <c r="F291" s="197"/>
      <c r="G291" s="197"/>
      <c r="H291" s="197"/>
      <c r="I291" s="197"/>
      <c r="J291" s="197"/>
      <c r="K291" s="197"/>
      <c r="L291" s="198"/>
      <c r="M291" s="206"/>
      <c r="N291" s="200"/>
      <c r="O291" s="222"/>
      <c r="P291" s="214">
        <f t="shared" ref="P291:P318" si="9">M291*O291</f>
        <v>0</v>
      </c>
      <c r="Q291" s="42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</row>
    <row r="292" spans="1:50" s="10" customFormat="1" ht="14">
      <c r="A292"/>
      <c r="B292"/>
      <c r="C292"/>
      <c r="D292" s="155"/>
      <c r="E292" s="203" t="s">
        <v>223</v>
      </c>
      <c r="F292" s="197"/>
      <c r="G292" s="205">
        <v>7</v>
      </c>
      <c r="H292" s="265">
        <f>(M292*(G292/12))/27</f>
        <v>0</v>
      </c>
      <c r="I292" s="239"/>
      <c r="J292" s="239"/>
      <c r="K292" s="239"/>
      <c r="L292" s="219"/>
      <c r="M292" s="199"/>
      <c r="N292" s="200" t="s">
        <v>5</v>
      </c>
      <c r="O292" s="222">
        <v>5.05</v>
      </c>
      <c r="P292" s="214">
        <f>M292*O292</f>
        <v>0</v>
      </c>
      <c r="Q292" s="421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</row>
    <row r="293" spans="1:50" s="10" customFormat="1" ht="14">
      <c r="A293"/>
      <c r="B293"/>
      <c r="C293"/>
      <c r="D293" s="155"/>
      <c r="E293" s="203" t="s">
        <v>224</v>
      </c>
      <c r="F293" s="197"/>
      <c r="G293" s="205">
        <v>6</v>
      </c>
      <c r="H293" s="265">
        <f>(M293*(G293/12))/27</f>
        <v>836.94444444444446</v>
      </c>
      <c r="I293" s="239"/>
      <c r="J293" s="239"/>
      <c r="K293" s="239"/>
      <c r="L293" s="219"/>
      <c r="M293" s="199">
        <v>45195</v>
      </c>
      <c r="N293" s="200" t="s">
        <v>5</v>
      </c>
      <c r="O293" s="222">
        <v>6.5</v>
      </c>
      <c r="P293" s="214">
        <f>M293*O293</f>
        <v>293767.5</v>
      </c>
      <c r="Q293" s="421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</row>
    <row r="294" spans="1:50" s="10" customFormat="1" ht="14">
      <c r="A294"/>
      <c r="B294"/>
      <c r="C294"/>
      <c r="D294" s="155"/>
      <c r="E294" s="203" t="s">
        <v>700</v>
      </c>
      <c r="F294" s="197"/>
      <c r="G294" s="205">
        <v>8</v>
      </c>
      <c r="H294" s="265">
        <f>(M294*(G294/12))/27</f>
        <v>260.24691358024688</v>
      </c>
      <c r="I294" s="239"/>
      <c r="J294" s="239"/>
      <c r="K294" s="239"/>
      <c r="L294" s="219"/>
      <c r="M294" s="199">
        <v>10540</v>
      </c>
      <c r="N294" s="200" t="s">
        <v>5</v>
      </c>
      <c r="O294" s="222">
        <v>8.5</v>
      </c>
      <c r="P294" s="214">
        <f>M294*O294</f>
        <v>89590</v>
      </c>
      <c r="Q294" s="421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</row>
    <row r="295" spans="1:50" s="10" customFormat="1" ht="14">
      <c r="A295"/>
      <c r="B295"/>
      <c r="C295"/>
      <c r="D295" s="155"/>
      <c r="E295" s="203" t="s">
        <v>226</v>
      </c>
      <c r="F295" s="197"/>
      <c r="G295" s="205">
        <v>6</v>
      </c>
      <c r="H295" s="265">
        <f>(M295*(G295/12))/27</f>
        <v>0</v>
      </c>
      <c r="I295" s="239"/>
      <c r="J295" s="239"/>
      <c r="K295" s="239"/>
      <c r="L295" s="219"/>
      <c r="M295" s="199"/>
      <c r="N295" s="200" t="s">
        <v>5</v>
      </c>
      <c r="O295" s="222">
        <v>5</v>
      </c>
      <c r="P295" s="214">
        <f t="shared" si="9"/>
        <v>0</v>
      </c>
      <c r="Q295" s="421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</row>
    <row r="296" spans="1:50" s="10" customFormat="1" ht="14">
      <c r="A296"/>
      <c r="B296"/>
      <c r="C296"/>
      <c r="D296" s="155"/>
      <c r="E296" s="203" t="s">
        <v>227</v>
      </c>
      <c r="F296" s="197"/>
      <c r="G296" s="205">
        <v>5</v>
      </c>
      <c r="H296" s="265">
        <f>(M296*(G296/12))/27</f>
        <v>264.27469135802471</v>
      </c>
      <c r="I296" s="239"/>
      <c r="J296" s="239"/>
      <c r="K296" s="239"/>
      <c r="L296" s="198"/>
      <c r="M296" s="199">
        <v>17125</v>
      </c>
      <c r="N296" s="200" t="s">
        <v>5</v>
      </c>
      <c r="O296" s="222">
        <v>6</v>
      </c>
      <c r="P296" s="214">
        <f t="shared" si="9"/>
        <v>102750</v>
      </c>
      <c r="Q296" s="421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</row>
    <row r="297" spans="1:50" s="10" customFormat="1" ht="14">
      <c r="A297"/>
      <c r="B297"/>
      <c r="C297"/>
      <c r="D297" s="155"/>
      <c r="E297" s="196" t="s">
        <v>331</v>
      </c>
      <c r="F297" s="197"/>
      <c r="G297" s="205"/>
      <c r="H297" s="205"/>
      <c r="I297" s="197"/>
      <c r="J297" s="197"/>
      <c r="K297" s="197"/>
      <c r="L297" s="198"/>
      <c r="M297" s="199"/>
      <c r="N297" s="200"/>
      <c r="O297" s="222"/>
      <c r="P297" s="214">
        <f t="shared" si="9"/>
        <v>0</v>
      </c>
      <c r="Q297" s="421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</row>
    <row r="298" spans="1:50" s="10" customFormat="1" ht="14">
      <c r="A298"/>
      <c r="B298"/>
      <c r="C298"/>
      <c r="D298" s="155"/>
      <c r="E298" s="203" t="s">
        <v>332</v>
      </c>
      <c r="F298" s="197"/>
      <c r="G298" s="205">
        <v>4</v>
      </c>
      <c r="H298" s="265">
        <f>(M298*(G298/12))/27</f>
        <v>210.37037037037038</v>
      </c>
      <c r="I298" s="239"/>
      <c r="J298" s="239"/>
      <c r="K298" s="239"/>
      <c r="L298" s="198"/>
      <c r="M298" s="199">
        <v>17040</v>
      </c>
      <c r="N298" s="200" t="s">
        <v>5</v>
      </c>
      <c r="O298" s="222">
        <v>8</v>
      </c>
      <c r="P298" s="214">
        <f t="shared" si="9"/>
        <v>136320</v>
      </c>
      <c r="Q298" s="421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</row>
    <row r="299" spans="1:50" s="10" customFormat="1" ht="14">
      <c r="A299"/>
      <c r="B299"/>
      <c r="C299"/>
      <c r="D299" s="155"/>
      <c r="E299" s="218" t="s">
        <v>333</v>
      </c>
      <c r="F299" s="197"/>
      <c r="G299" s="197"/>
      <c r="H299" s="197"/>
      <c r="I299" s="197"/>
      <c r="J299" s="197"/>
      <c r="K299" s="197"/>
      <c r="L299" s="198"/>
      <c r="M299" s="199">
        <v>6</v>
      </c>
      <c r="N299" s="200" t="s">
        <v>162</v>
      </c>
      <c r="O299" s="222">
        <v>500</v>
      </c>
      <c r="P299" s="214">
        <f t="shared" si="9"/>
        <v>3000</v>
      </c>
      <c r="Q299" s="421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</row>
    <row r="300" spans="1:50" s="10" customFormat="1" ht="14">
      <c r="A300"/>
      <c r="B300"/>
      <c r="C300"/>
      <c r="D300" s="266"/>
      <c r="E300" s="218" t="s">
        <v>797</v>
      </c>
      <c r="F300" s="197"/>
      <c r="G300" s="197"/>
      <c r="H300" s="197"/>
      <c r="I300" s="197"/>
      <c r="J300" s="197"/>
      <c r="K300" s="197"/>
      <c r="L300" s="198"/>
      <c r="M300" s="199">
        <f>225*2*12</f>
        <v>5400</v>
      </c>
      <c r="N300" s="200" t="s">
        <v>5</v>
      </c>
      <c r="O300" s="222">
        <v>12</v>
      </c>
      <c r="P300" s="214">
        <f t="shared" si="9"/>
        <v>64800</v>
      </c>
      <c r="Q300" s="421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</row>
    <row r="301" spans="1:50" s="10" customFormat="1" ht="14">
      <c r="A301"/>
      <c r="B301"/>
      <c r="C301"/>
      <c r="D301" s="155"/>
      <c r="E301" s="203" t="s">
        <v>334</v>
      </c>
      <c r="F301" s="197"/>
      <c r="G301" s="197"/>
      <c r="H301" s="197"/>
      <c r="I301" s="197"/>
      <c r="J301" s="197"/>
      <c r="K301" s="197"/>
      <c r="L301" s="219"/>
      <c r="M301" s="199">
        <f>(480*5)</f>
        <v>2400</v>
      </c>
      <c r="N301" s="200" t="s">
        <v>5</v>
      </c>
      <c r="O301" s="222">
        <v>8</v>
      </c>
      <c r="P301" s="214">
        <f>M301*O301</f>
        <v>19200</v>
      </c>
      <c r="Q301" s="42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</row>
    <row r="302" spans="1:50" s="10" customFormat="1" ht="14">
      <c r="A302"/>
      <c r="B302"/>
      <c r="C302"/>
      <c r="D302" s="155"/>
      <c r="E302" s="218" t="s">
        <v>333</v>
      </c>
      <c r="F302" s="197"/>
      <c r="G302" s="197"/>
      <c r="H302" s="197"/>
      <c r="I302" s="197"/>
      <c r="J302" s="197"/>
      <c r="K302" s="197"/>
      <c r="L302" s="219"/>
      <c r="M302" s="199">
        <v>6</v>
      </c>
      <c r="N302" s="200" t="s">
        <v>162</v>
      </c>
      <c r="O302" s="222">
        <v>500</v>
      </c>
      <c r="P302" s="214">
        <f t="shared" si="9"/>
        <v>3000</v>
      </c>
      <c r="Q302" s="421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</row>
    <row r="303" spans="1:50" s="10" customFormat="1" ht="14">
      <c r="A303"/>
      <c r="B303"/>
      <c r="C303"/>
      <c r="D303" s="155"/>
      <c r="E303" s="196" t="s">
        <v>335</v>
      </c>
      <c r="F303" s="197"/>
      <c r="G303" s="197"/>
      <c r="H303" s="197"/>
      <c r="I303" s="197"/>
      <c r="J303" s="197"/>
      <c r="K303" s="197"/>
      <c r="L303" s="198"/>
      <c r="M303" s="199"/>
      <c r="N303" s="200"/>
      <c r="O303" s="222"/>
      <c r="P303" s="214">
        <f t="shared" si="9"/>
        <v>0</v>
      </c>
      <c r="Q303" s="421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</row>
    <row r="304" spans="1:50" s="10" customFormat="1" ht="14">
      <c r="A304"/>
      <c r="B304"/>
      <c r="C304"/>
      <c r="D304" s="155"/>
      <c r="E304" s="203" t="s">
        <v>336</v>
      </c>
      <c r="F304" s="197"/>
      <c r="G304" s="205" t="s">
        <v>337</v>
      </c>
      <c r="H304" s="239"/>
      <c r="I304" s="239"/>
      <c r="J304" s="239"/>
      <c r="K304" s="239"/>
      <c r="L304" s="198"/>
      <c r="M304" s="199">
        <v>3497</v>
      </c>
      <c r="N304" s="200" t="s">
        <v>7</v>
      </c>
      <c r="O304" s="222">
        <v>12</v>
      </c>
      <c r="P304" s="214">
        <f t="shared" si="9"/>
        <v>41964</v>
      </c>
      <c r="Q304" s="421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</row>
    <row r="305" spans="1:50" s="10" customFormat="1" ht="14">
      <c r="A305"/>
      <c r="B305"/>
      <c r="C305"/>
      <c r="D305" s="155"/>
      <c r="E305" s="203" t="s">
        <v>338</v>
      </c>
      <c r="F305" s="197"/>
      <c r="G305" s="451" t="s">
        <v>288</v>
      </c>
      <c r="H305" s="239"/>
      <c r="I305" s="239"/>
      <c r="J305" s="239"/>
      <c r="K305" s="239"/>
      <c r="L305" s="452"/>
      <c r="M305" s="453"/>
      <c r="N305" s="200" t="s">
        <v>7</v>
      </c>
      <c r="O305" s="222">
        <v>10</v>
      </c>
      <c r="P305" s="214">
        <f t="shared" si="9"/>
        <v>0</v>
      </c>
      <c r="Q305" s="421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</row>
    <row r="306" spans="1:50" s="10" customFormat="1" ht="14">
      <c r="A306"/>
      <c r="B306"/>
      <c r="C306"/>
      <c r="D306" s="155"/>
      <c r="E306" s="196" t="s">
        <v>242</v>
      </c>
      <c r="F306" s="197"/>
      <c r="G306" s="454"/>
      <c r="H306" s="454"/>
      <c r="I306" s="454"/>
      <c r="J306" s="454"/>
      <c r="K306" s="454"/>
      <c r="L306" s="452"/>
      <c r="M306" s="453"/>
      <c r="N306" s="200"/>
      <c r="O306" s="222"/>
      <c r="P306" s="214">
        <f t="shared" si="9"/>
        <v>0</v>
      </c>
      <c r="Q306" s="421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</row>
    <row r="307" spans="1:50" s="10" customFormat="1" ht="14">
      <c r="A307"/>
      <c r="B307"/>
      <c r="C307"/>
      <c r="D307" s="155"/>
      <c r="E307" s="203" t="s">
        <v>339</v>
      </c>
      <c r="F307" s="197"/>
      <c r="G307" s="454"/>
      <c r="H307" s="454"/>
      <c r="I307" s="454"/>
      <c r="J307" s="454"/>
      <c r="K307" s="454"/>
      <c r="L307" s="452"/>
      <c r="M307" s="453">
        <f>M939</f>
        <v>12</v>
      </c>
      <c r="N307" s="200" t="s">
        <v>162</v>
      </c>
      <c r="O307" s="222">
        <v>1100</v>
      </c>
      <c r="P307" s="214">
        <f t="shared" si="9"/>
        <v>13200</v>
      </c>
      <c r="Q307" s="421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</row>
    <row r="308" spans="1:50" s="10" customFormat="1" ht="14">
      <c r="A308"/>
      <c r="B308"/>
      <c r="C308"/>
      <c r="D308" s="155"/>
      <c r="E308" s="203" t="s">
        <v>340</v>
      </c>
      <c r="F308" s="197"/>
      <c r="G308" s="454"/>
      <c r="H308" s="454"/>
      <c r="I308" s="454"/>
      <c r="J308" s="454"/>
      <c r="K308" s="454"/>
      <c r="L308" s="452"/>
      <c r="M308" s="453">
        <f>M407</f>
        <v>12</v>
      </c>
      <c r="N308" s="200" t="s">
        <v>162</v>
      </c>
      <c r="O308" s="222">
        <v>300</v>
      </c>
      <c r="P308" s="214">
        <f t="shared" si="9"/>
        <v>3600</v>
      </c>
      <c r="Q308" s="421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</row>
    <row r="309" spans="1:50" s="10" customFormat="1" ht="14">
      <c r="A309"/>
      <c r="B309"/>
      <c r="C309"/>
      <c r="D309" s="155"/>
      <c r="E309" s="203" t="s">
        <v>341</v>
      </c>
      <c r="F309" s="197"/>
      <c r="G309" s="454"/>
      <c r="H309" s="454"/>
      <c r="I309" s="454"/>
      <c r="J309" s="454"/>
      <c r="K309" s="454"/>
      <c r="L309" s="452"/>
      <c r="M309" s="453">
        <v>1</v>
      </c>
      <c r="N309" s="200" t="s">
        <v>162</v>
      </c>
      <c r="O309" s="222">
        <v>4500</v>
      </c>
      <c r="P309" s="214">
        <f t="shared" si="9"/>
        <v>4500</v>
      </c>
      <c r="Q309" s="421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</row>
    <row r="310" spans="1:50" s="10" customFormat="1" ht="14">
      <c r="A310"/>
      <c r="B310"/>
      <c r="C310"/>
      <c r="D310" s="155"/>
      <c r="E310" s="203" t="s">
        <v>795</v>
      </c>
      <c r="F310" s="197"/>
      <c r="G310" s="454"/>
      <c r="H310" s="454"/>
      <c r="I310" s="454"/>
      <c r="J310" s="454"/>
      <c r="K310" s="454"/>
      <c r="L310" s="455"/>
      <c r="M310" s="453">
        <v>1</v>
      </c>
      <c r="N310" s="200" t="s">
        <v>162</v>
      </c>
      <c r="O310" s="222">
        <v>6500</v>
      </c>
      <c r="P310" s="214">
        <f t="shared" si="9"/>
        <v>6500</v>
      </c>
      <c r="Q310" s="421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</row>
    <row r="311" spans="1:50" s="10" customFormat="1" ht="14">
      <c r="A311"/>
      <c r="B311"/>
      <c r="C311"/>
      <c r="D311" s="155"/>
      <c r="E311" s="203" t="s">
        <v>796</v>
      </c>
      <c r="F311" s="197"/>
      <c r="G311" s="454"/>
      <c r="H311" s="454"/>
      <c r="I311" s="454"/>
      <c r="J311" s="454"/>
      <c r="K311" s="454"/>
      <c r="L311" s="455"/>
      <c r="M311" s="453">
        <f>247*3</f>
        <v>741</v>
      </c>
      <c r="N311" s="200" t="s">
        <v>5</v>
      </c>
      <c r="O311" s="222">
        <v>12</v>
      </c>
      <c r="P311" s="214">
        <f t="shared" si="9"/>
        <v>8892</v>
      </c>
      <c r="Q311" s="42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</row>
    <row r="312" spans="1:50" s="10" customFormat="1" ht="14">
      <c r="A312"/>
      <c r="B312"/>
      <c r="C312"/>
      <c r="D312" s="155"/>
      <c r="E312" s="203" t="s">
        <v>342</v>
      </c>
      <c r="F312" s="197"/>
      <c r="G312" s="454"/>
      <c r="H312" s="454"/>
      <c r="I312" s="454"/>
      <c r="J312" s="454"/>
      <c r="K312" s="454"/>
      <c r="L312" s="455"/>
      <c r="M312" s="453">
        <f>247*3</f>
        <v>741</v>
      </c>
      <c r="N312" s="200" t="s">
        <v>5</v>
      </c>
      <c r="O312" s="222">
        <v>75</v>
      </c>
      <c r="P312" s="214">
        <f t="shared" si="9"/>
        <v>55575</v>
      </c>
      <c r="Q312" s="421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</row>
    <row r="313" spans="1:50" s="10" customFormat="1" ht="13.75" customHeight="1">
      <c r="A313"/>
      <c r="B313"/>
      <c r="C313"/>
      <c r="D313" s="155"/>
      <c r="E313" s="203" t="s">
        <v>696</v>
      </c>
      <c r="F313" s="197"/>
      <c r="G313" s="454"/>
      <c r="H313" s="454"/>
      <c r="I313" s="454"/>
      <c r="J313" s="454"/>
      <c r="K313" s="454"/>
      <c r="L313" s="452"/>
      <c r="M313" s="453">
        <f>M312+80+38</f>
        <v>859</v>
      </c>
      <c r="N313" s="200" t="s">
        <v>7</v>
      </c>
      <c r="O313" s="222">
        <v>110</v>
      </c>
      <c r="P313" s="214">
        <f t="shared" si="9"/>
        <v>94490</v>
      </c>
      <c r="Q313" s="421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</row>
    <row r="314" spans="1:50" s="10" customFormat="1" ht="14">
      <c r="A314"/>
      <c r="B314"/>
      <c r="C314"/>
      <c r="D314" s="155"/>
      <c r="E314" s="203" t="s">
        <v>800</v>
      </c>
      <c r="F314" s="192"/>
      <c r="G314" s="456"/>
      <c r="H314" s="456"/>
      <c r="I314" s="456"/>
      <c r="J314" s="456"/>
      <c r="K314" s="456"/>
      <c r="L314" s="457"/>
      <c r="M314" s="458">
        <v>56</v>
      </c>
      <c r="N314" s="195" t="s">
        <v>7</v>
      </c>
      <c r="O314" s="253">
        <v>125</v>
      </c>
      <c r="P314" s="214">
        <f t="shared" si="9"/>
        <v>7000</v>
      </c>
      <c r="Q314" s="421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</row>
    <row r="315" spans="1:50" s="10" customFormat="1" ht="14">
      <c r="A315"/>
      <c r="B315"/>
      <c r="C315"/>
      <c r="D315" s="155"/>
      <c r="E315" s="203" t="s">
        <v>344</v>
      </c>
      <c r="F315" s="192"/>
      <c r="G315" s="456" t="s">
        <v>635</v>
      </c>
      <c r="H315" s="456"/>
      <c r="I315" s="456"/>
      <c r="J315" s="456"/>
      <c r="K315" s="456"/>
      <c r="L315" s="457"/>
      <c r="M315" s="458">
        <v>1</v>
      </c>
      <c r="N315" s="195" t="s">
        <v>162</v>
      </c>
      <c r="O315" s="253">
        <v>8500</v>
      </c>
      <c r="P315" s="214">
        <f t="shared" si="9"/>
        <v>8500</v>
      </c>
      <c r="Q315" s="421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</row>
    <row r="316" spans="1:50" s="10" customFormat="1" ht="14">
      <c r="A316"/>
      <c r="B316"/>
      <c r="C316"/>
      <c r="D316" s="155"/>
      <c r="E316" s="203" t="s">
        <v>848</v>
      </c>
      <c r="F316" s="192"/>
      <c r="G316" s="456"/>
      <c r="H316" s="456"/>
      <c r="I316" s="456"/>
      <c r="J316" s="456"/>
      <c r="K316" s="456"/>
      <c r="L316" s="459"/>
      <c r="M316" s="458">
        <f>38*6</f>
        <v>228</v>
      </c>
      <c r="N316" s="195" t="s">
        <v>5</v>
      </c>
      <c r="O316" s="267">
        <v>85</v>
      </c>
      <c r="P316" s="214">
        <f t="shared" si="9"/>
        <v>19380</v>
      </c>
      <c r="Q316" s="421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</row>
    <row r="317" spans="1:50" s="10" customFormat="1" ht="14">
      <c r="A317"/>
      <c r="B317"/>
      <c r="C317"/>
      <c r="D317" s="155"/>
      <c r="E317" s="203" t="s">
        <v>345</v>
      </c>
      <c r="F317" s="192"/>
      <c r="G317" s="456"/>
      <c r="H317" s="456"/>
      <c r="I317" s="456"/>
      <c r="J317" s="456"/>
      <c r="K317" s="456"/>
      <c r="L317" s="459"/>
      <c r="M317" s="458">
        <v>0</v>
      </c>
      <c r="N317" s="195" t="s">
        <v>164</v>
      </c>
      <c r="O317" s="267">
        <v>20000</v>
      </c>
      <c r="P317" s="214">
        <f t="shared" si="9"/>
        <v>0</v>
      </c>
      <c r="Q317" s="421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</row>
    <row r="318" spans="1:50" s="10" customFormat="1" ht="14">
      <c r="A318"/>
      <c r="B318"/>
      <c r="C318"/>
      <c r="D318" s="155"/>
      <c r="E318" s="218"/>
      <c r="F318" s="192"/>
      <c r="G318" s="456"/>
      <c r="H318" s="456"/>
      <c r="I318" s="456"/>
      <c r="J318" s="456"/>
      <c r="K318" s="456"/>
      <c r="L318" s="459"/>
      <c r="M318" s="458"/>
      <c r="N318" s="195"/>
      <c r="O318" s="253"/>
      <c r="P318" s="214">
        <f t="shared" si="9"/>
        <v>0</v>
      </c>
      <c r="Q318" s="421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</row>
    <row r="319" spans="1:50" s="10" customFormat="1" ht="14">
      <c r="A319"/>
      <c r="B319"/>
      <c r="C319"/>
      <c r="D319" s="155"/>
      <c r="E319" s="262" t="s">
        <v>346</v>
      </c>
      <c r="F319" s="197"/>
      <c r="G319" s="454"/>
      <c r="H319" s="460"/>
      <c r="I319" s="460"/>
      <c r="J319" s="460"/>
      <c r="K319" s="460"/>
      <c r="L319" s="452"/>
      <c r="M319" s="453"/>
      <c r="N319" s="200"/>
      <c r="O319" s="222"/>
      <c r="P319" s="214">
        <f>M319*O319</f>
        <v>0</v>
      </c>
      <c r="Q319" s="421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</row>
    <row r="320" spans="1:50" s="10" customFormat="1" ht="14">
      <c r="A320"/>
      <c r="B320"/>
      <c r="C320"/>
      <c r="D320" s="155"/>
      <c r="E320" s="196" t="s">
        <v>347</v>
      </c>
      <c r="F320" s="197"/>
      <c r="G320" s="454"/>
      <c r="H320" s="454"/>
      <c r="I320" s="454"/>
      <c r="J320" s="454"/>
      <c r="K320" s="454"/>
      <c r="L320" s="452"/>
      <c r="M320" s="453"/>
      <c r="N320" s="200"/>
      <c r="O320" s="222"/>
      <c r="P320" s="214">
        <f t="shared" ref="P320:P342" si="10">M320*O320</f>
        <v>0</v>
      </c>
      <c r="Q320" s="421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</row>
    <row r="321" spans="1:50" s="10" customFormat="1" ht="14">
      <c r="A321"/>
      <c r="B321"/>
      <c r="C321"/>
      <c r="D321" s="155"/>
      <c r="E321" s="203" t="s">
        <v>348</v>
      </c>
      <c r="F321" s="197" t="s">
        <v>349</v>
      </c>
      <c r="G321" s="454" t="s">
        <v>647</v>
      </c>
      <c r="H321" s="454"/>
      <c r="I321" s="454"/>
      <c r="J321" s="454"/>
      <c r="K321" s="454"/>
      <c r="L321" s="452"/>
      <c r="M321" s="453"/>
      <c r="N321" s="200"/>
      <c r="O321" s="222"/>
      <c r="P321" s="214">
        <f t="shared" si="10"/>
        <v>0</v>
      </c>
      <c r="Q321" s="4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</row>
    <row r="322" spans="1:50" s="10" customFormat="1" ht="14">
      <c r="A322"/>
      <c r="B322"/>
      <c r="C322"/>
      <c r="D322" s="155"/>
      <c r="E322" s="218" t="s">
        <v>350</v>
      </c>
      <c r="F322" s="197"/>
      <c r="G322" s="454" t="s">
        <v>351</v>
      </c>
      <c r="H322" s="454" t="s">
        <v>814</v>
      </c>
      <c r="I322" s="454"/>
      <c r="J322" s="454" t="s">
        <v>618</v>
      </c>
      <c r="K322" s="454"/>
      <c r="L322" s="461"/>
      <c r="M322" s="453">
        <v>60</v>
      </c>
      <c r="N322" s="200" t="s">
        <v>162</v>
      </c>
      <c r="O322" s="222">
        <f>25*105</f>
        <v>2625</v>
      </c>
      <c r="P322" s="214">
        <f t="shared" si="10"/>
        <v>157500</v>
      </c>
      <c r="Q322" s="421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</row>
    <row r="323" spans="1:50" s="10" customFormat="1" ht="14">
      <c r="A323"/>
      <c r="B323"/>
      <c r="C323"/>
      <c r="D323" s="155"/>
      <c r="E323" s="218" t="s">
        <v>350</v>
      </c>
      <c r="F323" s="197"/>
      <c r="G323" s="454" t="s">
        <v>351</v>
      </c>
      <c r="H323" s="454" t="s">
        <v>814</v>
      </c>
      <c r="I323" s="454"/>
      <c r="J323" s="454" t="s">
        <v>676</v>
      </c>
      <c r="K323" s="454"/>
      <c r="L323" s="462"/>
      <c r="M323" s="453">
        <f>59-M324</f>
        <v>39</v>
      </c>
      <c r="N323" s="200" t="s">
        <v>162</v>
      </c>
      <c r="O323" s="222">
        <f>25*105</f>
        <v>2625</v>
      </c>
      <c r="P323" s="214">
        <f t="shared" si="10"/>
        <v>102375</v>
      </c>
      <c r="Q323" s="421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</row>
    <row r="324" spans="1:50" s="10" customFormat="1" ht="14">
      <c r="A324"/>
      <c r="B324"/>
      <c r="C324"/>
      <c r="D324" s="170"/>
      <c r="E324" s="218" t="s">
        <v>350</v>
      </c>
      <c r="F324" s="197"/>
      <c r="G324" s="454" t="s">
        <v>351</v>
      </c>
      <c r="H324" s="454" t="s">
        <v>814</v>
      </c>
      <c r="I324" s="454"/>
      <c r="J324" s="454" t="s">
        <v>677</v>
      </c>
      <c r="K324" s="452"/>
      <c r="L324" s="463"/>
      <c r="M324" s="453">
        <v>20</v>
      </c>
      <c r="N324" s="200" t="s">
        <v>162</v>
      </c>
      <c r="O324" s="222">
        <f>25*105</f>
        <v>2625</v>
      </c>
      <c r="P324" s="214">
        <f t="shared" si="10"/>
        <v>52500</v>
      </c>
      <c r="Q324" s="421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</row>
    <row r="325" spans="1:50" s="10" customFormat="1" ht="14">
      <c r="A325"/>
      <c r="B325"/>
      <c r="C325"/>
      <c r="D325" s="170"/>
      <c r="E325" s="218" t="s">
        <v>651</v>
      </c>
      <c r="F325" s="197"/>
      <c r="G325" s="454"/>
      <c r="H325" s="454"/>
      <c r="I325" s="454"/>
      <c r="J325" s="454"/>
      <c r="K325" s="452"/>
      <c r="L325" s="463"/>
      <c r="M325" s="453">
        <f>(51*20)+(59*20)</f>
        <v>2200</v>
      </c>
      <c r="N325" s="200" t="s">
        <v>7</v>
      </c>
      <c r="O325" s="222">
        <v>75</v>
      </c>
      <c r="P325" s="214">
        <f t="shared" si="10"/>
        <v>165000</v>
      </c>
      <c r="Q325" s="421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</row>
    <row r="326" spans="1:50" s="10" customFormat="1" ht="14">
      <c r="A326"/>
      <c r="B326"/>
      <c r="C326"/>
      <c r="D326" s="155"/>
      <c r="E326" s="203" t="s">
        <v>352</v>
      </c>
      <c r="F326" s="197" t="s">
        <v>353</v>
      </c>
      <c r="G326" s="454" t="s">
        <v>354</v>
      </c>
      <c r="H326" s="454" t="s">
        <v>355</v>
      </c>
      <c r="I326" s="454"/>
      <c r="J326" s="454"/>
      <c r="K326" s="454"/>
      <c r="L326" s="452"/>
      <c r="M326" s="453"/>
      <c r="N326" s="200"/>
      <c r="O326" s="222"/>
      <c r="P326" s="214">
        <f t="shared" si="10"/>
        <v>0</v>
      </c>
      <c r="Q326" s="421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</row>
    <row r="327" spans="1:50" s="10" customFormat="1" ht="14">
      <c r="A327"/>
      <c r="B327"/>
      <c r="C327"/>
      <c r="D327" s="155"/>
      <c r="E327" s="218" t="s">
        <v>356</v>
      </c>
      <c r="F327" s="197">
        <v>5</v>
      </c>
      <c r="G327" s="454">
        <v>5</v>
      </c>
      <c r="H327" s="454">
        <v>2</v>
      </c>
      <c r="I327" s="454"/>
      <c r="J327" s="454"/>
      <c r="K327" s="454"/>
      <c r="L327" s="452"/>
      <c r="M327" s="453">
        <v>20</v>
      </c>
      <c r="N327" s="200" t="s">
        <v>162</v>
      </c>
      <c r="O327" s="222">
        <v>1350</v>
      </c>
      <c r="P327" s="214">
        <f t="shared" si="10"/>
        <v>27000</v>
      </c>
      <c r="Q327" s="421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</row>
    <row r="328" spans="1:50" s="10" customFormat="1" ht="14">
      <c r="A328"/>
      <c r="B328"/>
      <c r="C328"/>
      <c r="D328" s="170"/>
      <c r="E328" s="218" t="s">
        <v>357</v>
      </c>
      <c r="F328" s="197">
        <v>8</v>
      </c>
      <c r="G328" s="454">
        <v>4.5</v>
      </c>
      <c r="H328" s="454">
        <v>3</v>
      </c>
      <c r="I328" s="454"/>
      <c r="J328" s="454"/>
      <c r="K328" s="454"/>
      <c r="L328" s="455"/>
      <c r="M328" s="453"/>
      <c r="N328" s="200" t="s">
        <v>162</v>
      </c>
      <c r="O328" s="250">
        <f t="shared" ref="O328:O330" si="11">F328*G328*H328*10</f>
        <v>1080</v>
      </c>
      <c r="P328" s="214">
        <f t="shared" si="10"/>
        <v>0</v>
      </c>
      <c r="Q328" s="421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</row>
    <row r="329" spans="1:50" s="10" customFormat="1" ht="14">
      <c r="A329"/>
      <c r="B329"/>
      <c r="C329"/>
      <c r="D329" s="155"/>
      <c r="E329" s="218" t="s">
        <v>358</v>
      </c>
      <c r="F329" s="197">
        <v>3</v>
      </c>
      <c r="G329" s="454">
        <v>3</v>
      </c>
      <c r="H329" s="454">
        <v>1.5</v>
      </c>
      <c r="I329" s="454"/>
      <c r="J329" s="454"/>
      <c r="K329" s="454"/>
      <c r="L329" s="455"/>
      <c r="M329" s="453"/>
      <c r="N329" s="200" t="s">
        <v>162</v>
      </c>
      <c r="O329" s="250">
        <f t="shared" si="11"/>
        <v>135</v>
      </c>
      <c r="P329" s="214">
        <f t="shared" si="10"/>
        <v>0</v>
      </c>
      <c r="Q329" s="421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</row>
    <row r="330" spans="1:50" s="10" customFormat="1" ht="14">
      <c r="A330"/>
      <c r="B330"/>
      <c r="C330"/>
      <c r="D330" s="155"/>
      <c r="E330" s="218" t="s">
        <v>359</v>
      </c>
      <c r="F330" s="197">
        <v>7.5</v>
      </c>
      <c r="G330" s="454">
        <v>4</v>
      </c>
      <c r="H330" s="454">
        <v>3</v>
      </c>
      <c r="I330" s="454"/>
      <c r="J330" s="454"/>
      <c r="K330" s="454"/>
      <c r="L330" s="455"/>
      <c r="M330" s="453"/>
      <c r="N330" s="200" t="s">
        <v>162</v>
      </c>
      <c r="O330" s="250">
        <f t="shared" si="11"/>
        <v>900</v>
      </c>
      <c r="P330" s="214">
        <f t="shared" si="10"/>
        <v>0</v>
      </c>
      <c r="Q330" s="421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</row>
    <row r="331" spans="1:50" s="10" customFormat="1" ht="14">
      <c r="A331"/>
      <c r="B331"/>
      <c r="C331"/>
      <c r="D331" s="148"/>
      <c r="E331" s="203" t="s">
        <v>360</v>
      </c>
      <c r="F331" s="197"/>
      <c r="G331" s="454"/>
      <c r="H331" s="454"/>
      <c r="I331" s="454"/>
      <c r="J331" s="454"/>
      <c r="K331" s="454"/>
      <c r="L331" s="452"/>
      <c r="M331" s="453"/>
      <c r="N331" s="200"/>
      <c r="O331" s="222"/>
      <c r="P331" s="214">
        <f t="shared" si="10"/>
        <v>0</v>
      </c>
      <c r="Q331" s="42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</row>
    <row r="332" spans="1:50" s="10" customFormat="1" ht="14">
      <c r="A332"/>
      <c r="B332"/>
      <c r="C332"/>
      <c r="D332" s="155"/>
      <c r="E332" s="218" t="s">
        <v>361</v>
      </c>
      <c r="F332" s="197"/>
      <c r="G332" s="197" t="s">
        <v>650</v>
      </c>
      <c r="H332" s="197"/>
      <c r="I332" s="197"/>
      <c r="J332" s="197"/>
      <c r="K332" s="197"/>
      <c r="L332" s="198"/>
      <c r="M332" s="199">
        <v>2454</v>
      </c>
      <c r="N332" s="200" t="s">
        <v>7</v>
      </c>
      <c r="O332" s="222">
        <v>185</v>
      </c>
      <c r="P332" s="214">
        <f t="shared" si="10"/>
        <v>453990</v>
      </c>
      <c r="Q332" s="421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</row>
    <row r="333" spans="1:50" s="10" customFormat="1" ht="14">
      <c r="A333"/>
      <c r="B333"/>
      <c r="C333"/>
      <c r="D333" s="155"/>
      <c r="E333" s="196" t="s">
        <v>362</v>
      </c>
      <c r="F333" s="197"/>
      <c r="G333" s="197"/>
      <c r="H333" s="197"/>
      <c r="I333" s="197"/>
      <c r="J333" s="197"/>
      <c r="K333" s="197"/>
      <c r="L333" s="198"/>
      <c r="M333" s="199"/>
      <c r="N333" s="200"/>
      <c r="O333" s="222"/>
      <c r="P333" s="214">
        <f t="shared" si="10"/>
        <v>0</v>
      </c>
      <c r="Q333" s="421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</row>
    <row r="334" spans="1:50" s="10" customFormat="1" ht="14">
      <c r="A334"/>
      <c r="B334"/>
      <c r="C334"/>
      <c r="D334" s="155"/>
      <c r="E334" s="203" t="s">
        <v>657</v>
      </c>
      <c r="F334" s="197"/>
      <c r="G334" s="197"/>
      <c r="H334" s="197"/>
      <c r="I334" s="197"/>
      <c r="J334" s="197"/>
      <c r="K334" s="197"/>
      <c r="L334" s="198"/>
      <c r="M334" s="199">
        <v>40465</v>
      </c>
      <c r="N334" s="200" t="s">
        <v>5</v>
      </c>
      <c r="O334" s="222">
        <v>6</v>
      </c>
      <c r="P334" s="214">
        <f t="shared" si="10"/>
        <v>242790</v>
      </c>
      <c r="Q334" s="421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</row>
    <row r="335" spans="1:50" s="10" customFormat="1" ht="14">
      <c r="A335"/>
      <c r="B335"/>
      <c r="C335"/>
      <c r="D335" s="155"/>
      <c r="E335" s="203" t="s">
        <v>812</v>
      </c>
      <c r="F335" s="197"/>
      <c r="G335" s="197"/>
      <c r="H335" s="197"/>
      <c r="I335" s="197"/>
      <c r="J335" s="197"/>
      <c r="K335" s="197"/>
      <c r="L335" s="198"/>
      <c r="M335" s="199">
        <v>5825</v>
      </c>
      <c r="N335" s="200" t="s">
        <v>5</v>
      </c>
      <c r="O335" s="222">
        <v>9</v>
      </c>
      <c r="P335" s="214">
        <f t="shared" si="10"/>
        <v>52425</v>
      </c>
      <c r="Q335" s="421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</row>
    <row r="336" spans="1:50" s="10" customFormat="1" ht="14">
      <c r="A336"/>
      <c r="B336"/>
      <c r="C336"/>
      <c r="D336" s="155"/>
      <c r="E336" s="203" t="s">
        <v>363</v>
      </c>
      <c r="F336" s="197"/>
      <c r="G336" s="197"/>
      <c r="H336" s="410" t="s">
        <v>765</v>
      </c>
      <c r="I336" s="197"/>
      <c r="J336" s="197"/>
      <c r="K336" s="197"/>
      <c r="L336" s="198"/>
      <c r="M336" s="199">
        <v>2140</v>
      </c>
      <c r="N336" s="200" t="s">
        <v>5</v>
      </c>
      <c r="O336" s="222">
        <v>8</v>
      </c>
      <c r="P336" s="214">
        <f t="shared" si="10"/>
        <v>17120</v>
      </c>
      <c r="Q336" s="421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</row>
    <row r="337" spans="1:50" s="10" customFormat="1" ht="14">
      <c r="A337"/>
      <c r="B337"/>
      <c r="C337"/>
      <c r="D337" s="155"/>
      <c r="E337" s="215" t="s">
        <v>242</v>
      </c>
      <c r="F337" s="197"/>
      <c r="G337" s="197"/>
      <c r="H337" s="197"/>
      <c r="I337" s="197"/>
      <c r="J337" s="197"/>
      <c r="K337" s="197"/>
      <c r="L337" s="198"/>
      <c r="M337" s="199"/>
      <c r="N337" s="200"/>
      <c r="O337" s="222"/>
      <c r="P337" s="214">
        <f t="shared" si="10"/>
        <v>0</v>
      </c>
      <c r="Q337" s="421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</row>
    <row r="338" spans="1:50" s="10" customFormat="1" ht="14">
      <c r="A338"/>
      <c r="B338"/>
      <c r="C338"/>
      <c r="D338" s="155"/>
      <c r="E338" s="203" t="s">
        <v>640</v>
      </c>
      <c r="F338" s="197"/>
      <c r="G338" s="197"/>
      <c r="H338" s="197"/>
      <c r="I338" s="197"/>
      <c r="J338" s="197"/>
      <c r="K338" s="197"/>
      <c r="L338" s="198"/>
      <c r="M338" s="199">
        <f>M334+M335</f>
        <v>46290</v>
      </c>
      <c r="N338" s="200" t="s">
        <v>5</v>
      </c>
      <c r="O338" s="222">
        <v>1</v>
      </c>
      <c r="P338" s="214">
        <f t="shared" si="10"/>
        <v>46290</v>
      </c>
      <c r="Q338" s="421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</row>
    <row r="339" spans="1:50" s="10" customFormat="1" ht="14">
      <c r="A339"/>
      <c r="B339"/>
      <c r="C339"/>
      <c r="D339" s="155"/>
      <c r="E339" s="215" t="s">
        <v>364</v>
      </c>
      <c r="F339" s="192"/>
      <c r="G339" s="192"/>
      <c r="H339" s="192"/>
      <c r="I339" s="192"/>
      <c r="J339" s="192"/>
      <c r="K339" s="192"/>
      <c r="L339" s="193"/>
      <c r="M339" s="264"/>
      <c r="N339" s="195"/>
      <c r="O339" s="253"/>
      <c r="P339" s="214">
        <f t="shared" si="10"/>
        <v>0</v>
      </c>
      <c r="Q339" s="421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</row>
    <row r="340" spans="1:50" s="10" customFormat="1" ht="14">
      <c r="A340"/>
      <c r="B340"/>
      <c r="C340"/>
      <c r="D340" s="155"/>
      <c r="E340" s="203" t="s">
        <v>726</v>
      </c>
      <c r="F340" s="192"/>
      <c r="G340" s="192"/>
      <c r="H340" s="192"/>
      <c r="I340" s="192"/>
      <c r="J340" s="192"/>
      <c r="K340" s="192"/>
      <c r="L340" s="193"/>
      <c r="M340" s="194">
        <f>M889</f>
        <v>240</v>
      </c>
      <c r="N340" s="195" t="s">
        <v>7</v>
      </c>
      <c r="O340" s="267">
        <v>85</v>
      </c>
      <c r="P340" s="214">
        <f t="shared" si="10"/>
        <v>20400</v>
      </c>
      <c r="Q340" s="421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</row>
    <row r="341" spans="1:50" s="10" customFormat="1" ht="14">
      <c r="A341"/>
      <c r="B341"/>
      <c r="C341"/>
      <c r="D341" s="155"/>
      <c r="E341" s="218"/>
      <c r="F341" s="192"/>
      <c r="G341" s="192"/>
      <c r="H341" s="192"/>
      <c r="I341" s="192"/>
      <c r="J341" s="192"/>
      <c r="K341" s="192"/>
      <c r="L341" s="193"/>
      <c r="M341" s="264"/>
      <c r="N341" s="195"/>
      <c r="O341" s="253"/>
      <c r="P341" s="214">
        <f t="shared" si="10"/>
        <v>0</v>
      </c>
      <c r="Q341" s="42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</row>
    <row r="342" spans="1:50" s="10" customFormat="1" ht="14">
      <c r="A342"/>
      <c r="B342"/>
      <c r="C342"/>
      <c r="D342" s="155"/>
      <c r="E342" s="218"/>
      <c r="F342" s="192"/>
      <c r="G342" s="192"/>
      <c r="H342" s="192"/>
      <c r="I342" s="192"/>
      <c r="J342" s="192"/>
      <c r="K342" s="192"/>
      <c r="L342" s="193"/>
      <c r="M342" s="264"/>
      <c r="N342" s="195"/>
      <c r="O342" s="253"/>
      <c r="P342" s="214">
        <f t="shared" si="10"/>
        <v>0</v>
      </c>
      <c r="Q342" s="421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</row>
    <row r="343" spans="1:50" s="10" customFormat="1" ht="14">
      <c r="A343"/>
      <c r="B343"/>
      <c r="C343"/>
      <c r="D343" s="155"/>
      <c r="E343" s="179"/>
      <c r="F343" s="180"/>
      <c r="G343" s="180"/>
      <c r="H343" s="180"/>
      <c r="I343" s="180"/>
      <c r="J343" s="180"/>
      <c r="K343" s="180"/>
      <c r="L343" s="181"/>
      <c r="M343" s="182"/>
      <c r="N343" s="183"/>
      <c r="O343" s="184"/>
      <c r="P343" s="185"/>
      <c r="Q343" s="185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</row>
    <row r="344" spans="1:50" s="10" customFormat="1" ht="14">
      <c r="A344"/>
      <c r="B344"/>
      <c r="C344"/>
      <c r="D344" s="155"/>
      <c r="E344" s="202" t="s">
        <v>187</v>
      </c>
      <c r="F344" s="241"/>
      <c r="G344" s="241"/>
      <c r="H344" s="241"/>
      <c r="I344" s="241"/>
      <c r="J344" s="241"/>
      <c r="K344" s="241"/>
      <c r="L344" s="242"/>
      <c r="M344" s="243"/>
      <c r="N344" s="244"/>
      <c r="O344" s="245"/>
      <c r="P344" s="214">
        <f>SUM(P287:P343)</f>
        <v>2313418.5</v>
      </c>
      <c r="Q344" s="421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</row>
    <row r="345" spans="1:50" s="10" customFormat="1" ht="14">
      <c r="A345"/>
      <c r="B345"/>
      <c r="C345"/>
      <c r="D345" s="155"/>
      <c r="E345" s="427"/>
      <c r="F345" s="427"/>
      <c r="G345" s="427"/>
      <c r="H345" s="427"/>
      <c r="I345" s="427"/>
      <c r="J345" s="427"/>
      <c r="K345" s="427"/>
      <c r="L345" s="427"/>
      <c r="M345" s="428"/>
      <c r="N345" s="429"/>
      <c r="O345" s="430"/>
      <c r="P345"/>
      <c r="Q345" s="160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</row>
    <row r="346" spans="1:50" s="10" customFormat="1" ht="14.5">
      <c r="A346" s="6"/>
      <c r="B346" s="6"/>
      <c r="C346" s="6"/>
      <c r="D346" s="148"/>
      <c r="E346" s="147"/>
      <c r="F346" s="147" t="s">
        <v>51</v>
      </c>
      <c r="G346" s="147"/>
      <c r="H346" s="147"/>
      <c r="I346" s="147"/>
      <c r="J346" s="147"/>
      <c r="K346" s="147"/>
      <c r="L346" s="147"/>
      <c r="M346" s="149"/>
      <c r="N346" s="150"/>
      <c r="O346" s="151"/>
      <c r="P346" s="152"/>
      <c r="Q346" s="153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</row>
    <row r="347" spans="1:50" s="10" customFormat="1" ht="14">
      <c r="A347"/>
      <c r="B347"/>
      <c r="C347"/>
      <c r="D347" s="155"/>
      <c r="E347" s="154"/>
      <c r="F347" s="154"/>
      <c r="G347" s="154"/>
      <c r="H347" s="154"/>
      <c r="I347" s="154"/>
      <c r="J347" s="154"/>
      <c r="K347" s="154"/>
      <c r="L347" s="154"/>
      <c r="M347" s="156"/>
      <c r="N347" s="157"/>
      <c r="O347" s="158"/>
      <c r="P347" s="159"/>
      <c r="Q347" s="160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</row>
    <row r="348" spans="1:50" s="10" customFormat="1" ht="14">
      <c r="A348"/>
      <c r="B348"/>
      <c r="C348"/>
      <c r="D348" s="155"/>
      <c r="E348" s="162"/>
      <c r="F348" s="162"/>
      <c r="G348" s="162"/>
      <c r="H348" s="162"/>
      <c r="I348" s="162"/>
      <c r="J348" s="162"/>
      <c r="K348" s="162"/>
      <c r="L348" s="163"/>
      <c r="M348" s="164"/>
      <c r="N348" s="165"/>
      <c r="O348" s="166"/>
      <c r="P348" s="167"/>
      <c r="Q348" s="167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</row>
    <row r="349" spans="1:50" s="10" customFormat="1" ht="14">
      <c r="A349"/>
      <c r="B349"/>
      <c r="C349"/>
      <c r="D349" s="155"/>
      <c r="E349" s="161" t="str">
        <f>RECAP!F24</f>
        <v xml:space="preserve">MASONRY </v>
      </c>
      <c r="F349" s="161"/>
      <c r="G349" s="161"/>
      <c r="H349" s="161"/>
      <c r="I349" s="161"/>
      <c r="J349" s="161"/>
      <c r="K349" s="161"/>
      <c r="L349" s="163"/>
      <c r="M349" s="164"/>
      <c r="N349" s="165"/>
      <c r="O349" s="166"/>
      <c r="P349" s="167"/>
      <c r="Q349" s="167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</row>
    <row r="350" spans="1:50" s="10" customFormat="1" ht="14">
      <c r="A350"/>
      <c r="B350"/>
      <c r="C350"/>
      <c r="D350" s="155"/>
      <c r="E350" s="154"/>
      <c r="F350" s="154"/>
      <c r="G350" s="154"/>
      <c r="H350" s="154"/>
      <c r="I350" s="154"/>
      <c r="J350" s="154"/>
      <c r="K350" s="154"/>
      <c r="L350" s="154"/>
      <c r="M350" s="156"/>
      <c r="N350" s="157"/>
      <c r="O350" s="158"/>
      <c r="P350" s="159"/>
      <c r="Q350" s="178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</row>
    <row r="351" spans="1:50" s="10" customFormat="1" ht="14">
      <c r="A351"/>
      <c r="B351"/>
      <c r="C351"/>
      <c r="D351" s="170"/>
      <c r="E351" s="171"/>
      <c r="F351" s="172"/>
      <c r="G351" s="172" t="s">
        <v>13</v>
      </c>
      <c r="H351" s="172"/>
      <c r="I351" s="172"/>
      <c r="J351" s="172"/>
      <c r="K351" s="172"/>
      <c r="L351" s="173"/>
      <c r="M351" s="174" t="s">
        <v>23</v>
      </c>
      <c r="N351" s="175" t="s">
        <v>151</v>
      </c>
      <c r="O351" s="176" t="s">
        <v>152</v>
      </c>
      <c r="P351" s="177" t="s">
        <v>153</v>
      </c>
      <c r="Q351" s="416" t="s">
        <v>17</v>
      </c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</row>
    <row r="352" spans="1:50" s="10" customFormat="1" ht="14">
      <c r="A352"/>
      <c r="B352"/>
      <c r="C352"/>
      <c r="D352" s="155"/>
      <c r="E352" s="179"/>
      <c r="F352" s="180"/>
      <c r="G352" s="180"/>
      <c r="H352" s="180"/>
      <c r="I352" s="180"/>
      <c r="J352" s="180"/>
      <c r="K352" s="180"/>
      <c r="L352" s="181"/>
      <c r="M352" s="182"/>
      <c r="N352" s="183"/>
      <c r="O352" s="184"/>
      <c r="P352" s="185"/>
      <c r="Q352" s="417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</row>
    <row r="353" spans="1:50" s="10" customFormat="1" ht="14.5" thickBot="1">
      <c r="A353"/>
      <c r="B353"/>
      <c r="C353"/>
      <c r="D353" s="148"/>
      <c r="E353" s="186" t="s">
        <v>154</v>
      </c>
      <c r="F353" s="187"/>
      <c r="G353" s="187"/>
      <c r="H353" s="187"/>
      <c r="I353" s="187"/>
      <c r="J353" s="187"/>
      <c r="K353" s="187"/>
      <c r="L353" s="188"/>
      <c r="M353" s="189"/>
      <c r="N353" s="190"/>
      <c r="O353" s="220"/>
      <c r="P353" s="221">
        <f>M353*O353</f>
        <v>0</v>
      </c>
      <c r="Q353" s="421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</row>
    <row r="354" spans="1:50" s="10" customFormat="1" ht="14.5" thickTop="1">
      <c r="A354"/>
      <c r="B354"/>
      <c r="C354"/>
      <c r="D354" s="155"/>
      <c r="E354" s="203"/>
      <c r="F354" s="197"/>
      <c r="G354" s="197"/>
      <c r="H354" s="197"/>
      <c r="I354" s="197"/>
      <c r="J354" s="197"/>
      <c r="K354" s="197"/>
      <c r="L354" s="198"/>
      <c r="M354" s="199"/>
      <c r="N354" s="200"/>
      <c r="O354" s="222"/>
      <c r="P354" s="214">
        <f t="shared" ref="P354:P355" si="12">M354*O354</f>
        <v>0</v>
      </c>
      <c r="Q354" s="421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</row>
    <row r="355" spans="1:50" s="10" customFormat="1" ht="14">
      <c r="A355"/>
      <c r="B355"/>
      <c r="C355"/>
      <c r="D355" s="155"/>
      <c r="E355" s="215"/>
      <c r="F355" s="197"/>
      <c r="G355" s="197"/>
      <c r="H355" s="197"/>
      <c r="I355" s="197"/>
      <c r="J355" s="197"/>
      <c r="K355" s="197"/>
      <c r="L355" s="198"/>
      <c r="M355" s="199"/>
      <c r="N355" s="200"/>
      <c r="O355" s="222"/>
      <c r="P355" s="214">
        <f t="shared" si="12"/>
        <v>0</v>
      </c>
      <c r="Q355" s="421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</row>
    <row r="356" spans="1:50" s="10" customFormat="1" ht="14">
      <c r="A356"/>
      <c r="B356"/>
      <c r="C356"/>
      <c r="D356" s="155"/>
      <c r="E356" s="254" t="s">
        <v>365</v>
      </c>
      <c r="F356" s="197"/>
      <c r="G356" s="197"/>
      <c r="H356" s="197"/>
      <c r="I356" s="197"/>
      <c r="J356" s="197"/>
      <c r="K356" s="197"/>
      <c r="L356" s="198"/>
      <c r="M356" s="206"/>
      <c r="N356" s="200"/>
      <c r="O356" s="222"/>
      <c r="P356" s="214">
        <f>M356*O356</f>
        <v>0</v>
      </c>
      <c r="Q356" s="421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</row>
    <row r="357" spans="1:50" s="10" customFormat="1" ht="14">
      <c r="A357"/>
      <c r="B357"/>
      <c r="C357"/>
      <c r="D357" s="266"/>
      <c r="E357" s="218"/>
      <c r="F357" s="197"/>
      <c r="G357" s="197"/>
      <c r="H357" s="197"/>
      <c r="I357" s="197"/>
      <c r="J357" s="197"/>
      <c r="K357" s="197"/>
      <c r="L357" s="198"/>
      <c r="M357" s="199"/>
      <c r="N357" s="200"/>
      <c r="O357" s="222"/>
      <c r="P357" s="214">
        <f t="shared" ref="P357" si="13">M357*O357</f>
        <v>0</v>
      </c>
      <c r="Q357" s="421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</row>
    <row r="358" spans="1:50" s="10" customFormat="1" ht="14">
      <c r="A358"/>
      <c r="B358"/>
      <c r="C358"/>
      <c r="D358" s="155"/>
      <c r="E358" s="247" t="s">
        <v>636</v>
      </c>
      <c r="F358" s="197"/>
      <c r="G358" s="197"/>
      <c r="H358" s="197"/>
      <c r="I358" s="197"/>
      <c r="J358" s="197"/>
      <c r="K358" s="197"/>
      <c r="L358" s="198"/>
      <c r="M358" s="199"/>
      <c r="N358" s="200"/>
      <c r="O358" s="222"/>
      <c r="P358" s="214">
        <f>M358*O358</f>
        <v>0</v>
      </c>
      <c r="Q358" s="421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</row>
    <row r="359" spans="1:50" s="10" customFormat="1" ht="14">
      <c r="A359"/>
      <c r="B359"/>
      <c r="C359"/>
      <c r="D359" s="266"/>
      <c r="E359" s="218" t="s">
        <v>366</v>
      </c>
      <c r="F359" s="197"/>
      <c r="G359" s="197"/>
      <c r="H359" s="197"/>
      <c r="I359" s="197"/>
      <c r="J359" s="197"/>
      <c r="K359" s="197"/>
      <c r="L359" s="198"/>
      <c r="M359" s="199">
        <v>7500</v>
      </c>
      <c r="N359" s="200" t="s">
        <v>5</v>
      </c>
      <c r="O359" s="222">
        <v>28</v>
      </c>
      <c r="P359" s="214">
        <f t="shared" ref="P359:P379" si="14">M359*O359</f>
        <v>210000</v>
      </c>
      <c r="Q359" s="421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</row>
    <row r="360" spans="1:50" s="10" customFormat="1" ht="14">
      <c r="A360"/>
      <c r="B360"/>
      <c r="C360"/>
      <c r="D360" s="266"/>
      <c r="E360" s="218" t="s">
        <v>815</v>
      </c>
      <c r="F360" s="197"/>
      <c r="G360" s="197"/>
      <c r="H360" s="197"/>
      <c r="I360" s="197"/>
      <c r="J360" s="197"/>
      <c r="K360" s="197"/>
      <c r="L360" s="198"/>
      <c r="M360" s="199">
        <f>2365</f>
        <v>2365</v>
      </c>
      <c r="N360" s="200" t="s">
        <v>5</v>
      </c>
      <c r="O360" s="222">
        <v>65</v>
      </c>
      <c r="P360" s="214">
        <f t="shared" si="14"/>
        <v>153725</v>
      </c>
      <c r="Q360" s="421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</row>
    <row r="361" spans="1:50" s="10" customFormat="1" ht="14">
      <c r="A361"/>
      <c r="B361"/>
      <c r="C361"/>
      <c r="D361" s="266"/>
      <c r="E361" s="218" t="s">
        <v>816</v>
      </c>
      <c r="F361" s="197"/>
      <c r="G361" s="197"/>
      <c r="H361" s="197"/>
      <c r="I361" s="197"/>
      <c r="J361" s="197"/>
      <c r="K361" s="197"/>
      <c r="L361" s="198"/>
      <c r="M361" s="199">
        <v>742</v>
      </c>
      <c r="N361" s="200" t="s">
        <v>7</v>
      </c>
      <c r="O361" s="222">
        <v>65</v>
      </c>
      <c r="P361" s="214">
        <f t="shared" si="14"/>
        <v>48230</v>
      </c>
      <c r="Q361" s="42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</row>
    <row r="362" spans="1:50" s="10" customFormat="1" ht="14">
      <c r="A362"/>
      <c r="B362"/>
      <c r="C362"/>
      <c r="D362" s="266"/>
      <c r="E362" s="218"/>
      <c r="F362" s="197"/>
      <c r="G362" s="197"/>
      <c r="H362" s="197"/>
      <c r="I362" s="197"/>
      <c r="J362" s="197"/>
      <c r="K362" s="197"/>
      <c r="L362" s="198"/>
      <c r="M362" s="199"/>
      <c r="N362" s="200"/>
      <c r="O362" s="222"/>
      <c r="P362" s="214">
        <f t="shared" si="14"/>
        <v>0</v>
      </c>
      <c r="Q362" s="421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</row>
    <row r="363" spans="1:50" s="10" customFormat="1" ht="14">
      <c r="A363"/>
      <c r="B363"/>
      <c r="C363"/>
      <c r="D363" s="266"/>
      <c r="E363" s="203" t="s">
        <v>751</v>
      </c>
      <c r="F363" s="197"/>
      <c r="G363" s="197"/>
      <c r="H363" s="197"/>
      <c r="I363" s="197"/>
      <c r="J363" s="197"/>
      <c r="K363" s="197"/>
      <c r="L363" s="198"/>
      <c r="M363" s="199">
        <f>(376)*22</f>
        <v>8272</v>
      </c>
      <c r="N363" s="200" t="s">
        <v>5</v>
      </c>
      <c r="O363" s="222">
        <v>30</v>
      </c>
      <c r="P363" s="214">
        <f t="shared" si="14"/>
        <v>248160</v>
      </c>
      <c r="Q363" s="421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</row>
    <row r="364" spans="1:50" s="10" customFormat="1" ht="14">
      <c r="A364"/>
      <c r="B364"/>
      <c r="C364"/>
      <c r="D364" s="266"/>
      <c r="E364" s="203" t="s">
        <v>752</v>
      </c>
      <c r="F364" s="197"/>
      <c r="G364" s="197"/>
      <c r="H364" s="197"/>
      <c r="I364" s="197"/>
      <c r="J364" s="197"/>
      <c r="K364" s="197"/>
      <c r="L364" s="198"/>
      <c r="M364" s="199">
        <f>583*22</f>
        <v>12826</v>
      </c>
      <c r="N364" s="200" t="s">
        <v>5</v>
      </c>
      <c r="O364" s="222">
        <v>28</v>
      </c>
      <c r="P364" s="214">
        <f t="shared" si="14"/>
        <v>359128</v>
      </c>
      <c r="Q364" s="421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</row>
    <row r="365" spans="1:50" s="10" customFormat="1" ht="14">
      <c r="A365"/>
      <c r="B365"/>
      <c r="C365"/>
      <c r="D365" s="266"/>
      <c r="E365" s="203" t="s">
        <v>750</v>
      </c>
      <c r="F365" s="197"/>
      <c r="G365" s="197"/>
      <c r="H365" s="197" t="s">
        <v>337</v>
      </c>
      <c r="I365" s="197"/>
      <c r="J365" s="197"/>
      <c r="K365" s="197"/>
      <c r="L365" s="198"/>
      <c r="M365" s="199">
        <f>220*18*1.2</f>
        <v>4752</v>
      </c>
      <c r="N365" s="200" t="s">
        <v>5</v>
      </c>
      <c r="O365" s="222">
        <v>26</v>
      </c>
      <c r="P365" s="214">
        <f t="shared" si="14"/>
        <v>123552</v>
      </c>
      <c r="Q365" s="421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</row>
    <row r="366" spans="1:50" s="10" customFormat="1" ht="14">
      <c r="A366"/>
      <c r="B366"/>
      <c r="C366"/>
      <c r="D366" s="266"/>
      <c r="E366" s="203" t="s">
        <v>749</v>
      </c>
      <c r="F366" s="197"/>
      <c r="G366" s="197"/>
      <c r="H366" s="197"/>
      <c r="I366" s="197"/>
      <c r="J366" s="197"/>
      <c r="K366" s="197"/>
      <c r="L366" s="198"/>
      <c r="M366" s="199">
        <f>163*22</f>
        <v>3586</v>
      </c>
      <c r="N366" s="200" t="s">
        <v>5</v>
      </c>
      <c r="O366" s="222">
        <v>30</v>
      </c>
      <c r="P366" s="214">
        <f t="shared" si="14"/>
        <v>107580</v>
      </c>
      <c r="Q366" s="421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</row>
    <row r="367" spans="1:50" s="10" customFormat="1" ht="14">
      <c r="A367"/>
      <c r="B367"/>
      <c r="C367"/>
      <c r="D367" s="266"/>
      <c r="E367" s="218"/>
      <c r="F367" s="197"/>
      <c r="G367" s="197"/>
      <c r="H367" s="197"/>
      <c r="I367" s="197"/>
      <c r="J367" s="197"/>
      <c r="K367" s="197"/>
      <c r="L367" s="198"/>
      <c r="M367" s="199"/>
      <c r="N367" s="200"/>
      <c r="O367" s="222"/>
      <c r="P367" s="214">
        <f t="shared" si="14"/>
        <v>0</v>
      </c>
      <c r="Q367" s="421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</row>
    <row r="368" spans="1:50" s="10" customFormat="1" ht="14">
      <c r="A368"/>
      <c r="B368"/>
      <c r="C368"/>
      <c r="D368" s="266"/>
      <c r="E368" s="203" t="s">
        <v>801</v>
      </c>
      <c r="F368" s="197"/>
      <c r="G368" s="197"/>
      <c r="H368" s="197"/>
      <c r="I368" s="197"/>
      <c r="J368" s="197"/>
      <c r="K368" s="197"/>
      <c r="L368" s="198"/>
      <c r="M368" s="199">
        <v>450</v>
      </c>
      <c r="N368" s="200" t="s">
        <v>5</v>
      </c>
      <c r="O368" s="222">
        <v>22</v>
      </c>
      <c r="P368" s="214">
        <f t="shared" si="14"/>
        <v>9900</v>
      </c>
      <c r="Q368" s="421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</row>
    <row r="369" spans="1:50" s="10" customFormat="1" ht="14">
      <c r="A369"/>
      <c r="B369"/>
      <c r="C369"/>
      <c r="D369" s="266"/>
      <c r="E369" s="203" t="s">
        <v>802</v>
      </c>
      <c r="F369" s="197"/>
      <c r="G369" s="197"/>
      <c r="H369" s="197"/>
      <c r="I369" s="197"/>
      <c r="J369" s="197"/>
      <c r="K369" s="197"/>
      <c r="L369" s="198"/>
      <c r="M369" s="199">
        <v>450</v>
      </c>
      <c r="N369" s="200" t="s">
        <v>5</v>
      </c>
      <c r="O369" s="222">
        <v>25</v>
      </c>
      <c r="P369" s="214">
        <f t="shared" si="14"/>
        <v>11250</v>
      </c>
      <c r="Q369" s="421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</row>
    <row r="370" spans="1:50" s="10" customFormat="1" ht="14">
      <c r="A370"/>
      <c r="B370"/>
      <c r="C370"/>
      <c r="D370" s="266"/>
      <c r="E370" s="203"/>
      <c r="F370" s="197"/>
      <c r="G370" s="197"/>
      <c r="H370" s="197"/>
      <c r="I370" s="197"/>
      <c r="J370" s="197"/>
      <c r="K370" s="197"/>
      <c r="L370" s="198"/>
      <c r="M370" s="199"/>
      <c r="N370" s="200"/>
      <c r="O370" s="222"/>
      <c r="P370" s="214">
        <f t="shared" si="14"/>
        <v>0</v>
      </c>
      <c r="Q370" s="421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</row>
    <row r="371" spans="1:50" s="10" customFormat="1" ht="14">
      <c r="A371"/>
      <c r="B371"/>
      <c r="C371"/>
      <c r="D371" s="266"/>
      <c r="E371" s="203" t="s">
        <v>367</v>
      </c>
      <c r="F371" s="197"/>
      <c r="G371" s="197"/>
      <c r="H371" s="197"/>
      <c r="I371" s="197"/>
      <c r="J371" s="197"/>
      <c r="K371" s="197"/>
      <c r="L371" s="198"/>
      <c r="M371" s="199">
        <v>450</v>
      </c>
      <c r="N371" s="200" t="s">
        <v>5</v>
      </c>
      <c r="O371" s="222">
        <v>22</v>
      </c>
      <c r="P371" s="214">
        <f t="shared" si="14"/>
        <v>9900</v>
      </c>
      <c r="Q371" s="42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</row>
    <row r="372" spans="1:50" s="10" customFormat="1" ht="14">
      <c r="A372"/>
      <c r="B372"/>
      <c r="C372"/>
      <c r="D372" s="266"/>
      <c r="E372" s="203" t="s">
        <v>637</v>
      </c>
      <c r="F372" s="197"/>
      <c r="G372" s="197"/>
      <c r="H372" s="197"/>
      <c r="I372" s="197"/>
      <c r="J372" s="197"/>
      <c r="K372" s="197"/>
      <c r="L372" s="198"/>
      <c r="M372" s="199">
        <v>450</v>
      </c>
      <c r="N372" s="200" t="s">
        <v>5</v>
      </c>
      <c r="O372" s="222">
        <v>25</v>
      </c>
      <c r="P372" s="214">
        <f t="shared" si="14"/>
        <v>11250</v>
      </c>
      <c r="Q372" s="421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</row>
    <row r="373" spans="1:50" s="10" customFormat="1" ht="14">
      <c r="A373"/>
      <c r="B373"/>
      <c r="C373"/>
      <c r="D373" s="266"/>
      <c r="E373" s="203"/>
      <c r="F373" s="197"/>
      <c r="G373" s="197"/>
      <c r="H373" s="197"/>
      <c r="I373" s="197"/>
      <c r="J373" s="197"/>
      <c r="K373" s="197"/>
      <c r="L373" s="198"/>
      <c r="M373" s="199"/>
      <c r="N373" s="200"/>
      <c r="O373" s="222"/>
      <c r="P373" s="214">
        <f t="shared" si="14"/>
        <v>0</v>
      </c>
      <c r="Q373" s="421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</row>
    <row r="374" spans="1:50" s="10" customFormat="1" ht="14">
      <c r="A374"/>
      <c r="B374"/>
      <c r="C374"/>
      <c r="D374" s="266"/>
      <c r="E374" s="203" t="s">
        <v>803</v>
      </c>
      <c r="F374" s="197"/>
      <c r="G374" s="197"/>
      <c r="H374" s="197"/>
      <c r="I374" s="197"/>
      <c r="J374" s="197"/>
      <c r="K374" s="197"/>
      <c r="L374" s="198"/>
      <c r="M374" s="199">
        <f>80*2</f>
        <v>160</v>
      </c>
      <c r="N374" s="200" t="s">
        <v>5</v>
      </c>
      <c r="O374" s="222">
        <v>45</v>
      </c>
      <c r="P374" s="214">
        <f t="shared" si="14"/>
        <v>7200</v>
      </c>
      <c r="Q374" s="421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</row>
    <row r="375" spans="1:50" s="10" customFormat="1" ht="14">
      <c r="A375"/>
      <c r="B375"/>
      <c r="C375"/>
      <c r="D375" s="266"/>
      <c r="E375" s="203" t="s">
        <v>804</v>
      </c>
      <c r="F375" s="197"/>
      <c r="G375" s="197"/>
      <c r="H375" s="197"/>
      <c r="I375" s="197"/>
      <c r="J375" s="197"/>
      <c r="K375" s="197"/>
      <c r="L375" s="198"/>
      <c r="M375" s="199">
        <f>M374*2</f>
        <v>320</v>
      </c>
      <c r="N375" s="200" t="s">
        <v>5</v>
      </c>
      <c r="O375" s="222">
        <v>48</v>
      </c>
      <c r="P375" s="214">
        <f t="shared" si="14"/>
        <v>15360</v>
      </c>
      <c r="Q375" s="421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</row>
    <row r="376" spans="1:50" s="10" customFormat="1" ht="14">
      <c r="A376"/>
      <c r="B376"/>
      <c r="C376"/>
      <c r="D376" s="266"/>
      <c r="E376" s="203" t="s">
        <v>805</v>
      </c>
      <c r="F376" s="197"/>
      <c r="G376" s="197"/>
      <c r="H376" s="197"/>
      <c r="I376" s="197"/>
      <c r="J376" s="197"/>
      <c r="K376" s="197"/>
      <c r="L376" s="198"/>
      <c r="M376" s="199">
        <v>80</v>
      </c>
      <c r="N376" s="200" t="s">
        <v>7</v>
      </c>
      <c r="O376" s="222">
        <v>125</v>
      </c>
      <c r="P376" s="214">
        <f t="shared" si="14"/>
        <v>10000</v>
      </c>
      <c r="Q376" s="421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</row>
    <row r="377" spans="1:50" s="10" customFormat="1" ht="14">
      <c r="A377"/>
      <c r="B377"/>
      <c r="C377"/>
      <c r="D377" s="266"/>
      <c r="E377" s="203"/>
      <c r="F377" s="197"/>
      <c r="G377" s="197"/>
      <c r="H377" s="197"/>
      <c r="I377" s="197"/>
      <c r="J377" s="197"/>
      <c r="K377" s="197"/>
      <c r="L377" s="198"/>
      <c r="M377" s="199"/>
      <c r="N377" s="200"/>
      <c r="O377" s="222"/>
      <c r="P377" s="214">
        <f t="shared" si="14"/>
        <v>0</v>
      </c>
      <c r="Q377" s="421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</row>
    <row r="378" spans="1:50" s="10" customFormat="1" ht="14">
      <c r="A378"/>
      <c r="B378"/>
      <c r="C378"/>
      <c r="D378" s="266"/>
      <c r="E378" s="203" t="s">
        <v>368</v>
      </c>
      <c r="F378" s="197"/>
      <c r="G378" s="197"/>
      <c r="H378" s="197"/>
      <c r="I378" s="197"/>
      <c r="J378" s="197"/>
      <c r="K378" s="197"/>
      <c r="L378" s="198"/>
      <c r="M378" s="206">
        <v>3000</v>
      </c>
      <c r="N378" s="200" t="s">
        <v>7</v>
      </c>
      <c r="O378" s="222">
        <v>16</v>
      </c>
      <c r="P378" s="214">
        <f t="shared" si="14"/>
        <v>48000</v>
      </c>
      <c r="Q378" s="421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</row>
    <row r="379" spans="1:50" s="10" customFormat="1" ht="14">
      <c r="A379"/>
      <c r="B379"/>
      <c r="C379"/>
      <c r="D379" s="155"/>
      <c r="E379" s="196"/>
      <c r="F379" s="197"/>
      <c r="G379" s="197"/>
      <c r="H379" s="197"/>
      <c r="I379" s="197"/>
      <c r="J379" s="197"/>
      <c r="K379" s="197"/>
      <c r="L379" s="198"/>
      <c r="M379" s="199"/>
      <c r="N379" s="200"/>
      <c r="O379" s="246"/>
      <c r="P379" s="214">
        <f t="shared" si="14"/>
        <v>0</v>
      </c>
      <c r="Q379" s="421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</row>
    <row r="380" spans="1:50" s="10" customFormat="1" ht="14">
      <c r="A380"/>
      <c r="B380"/>
      <c r="C380"/>
      <c r="D380" s="155"/>
      <c r="E380" s="179"/>
      <c r="F380" s="180"/>
      <c r="G380" s="180"/>
      <c r="H380" s="180"/>
      <c r="I380" s="180"/>
      <c r="J380" s="180"/>
      <c r="K380" s="180"/>
      <c r="L380" s="181"/>
      <c r="M380" s="182"/>
      <c r="N380" s="183"/>
      <c r="O380" s="184"/>
      <c r="P380" s="185"/>
      <c r="Q380" s="185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</row>
    <row r="381" spans="1:50" s="10" customFormat="1" ht="14">
      <c r="A381"/>
      <c r="B381"/>
      <c r="C381"/>
      <c r="D381" s="155"/>
      <c r="E381" s="202"/>
      <c r="F381" s="241"/>
      <c r="G381" s="241"/>
      <c r="H381" s="241"/>
      <c r="I381" s="241"/>
      <c r="J381" s="241"/>
      <c r="K381" s="241"/>
      <c r="L381" s="242"/>
      <c r="M381" s="243"/>
      <c r="N381" s="244"/>
      <c r="O381" s="245"/>
      <c r="P381" s="214">
        <f>SUM(P352:P380)</f>
        <v>1373235</v>
      </c>
      <c r="Q381" s="42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</row>
    <row r="382" spans="1:50" s="10" customFormat="1" ht="14">
      <c r="A382"/>
      <c r="B382"/>
      <c r="C382"/>
      <c r="D382" s="155"/>
      <c r="E382" s="427"/>
      <c r="F382" s="427"/>
      <c r="G382" s="427"/>
      <c r="H382" s="427"/>
      <c r="I382" s="427"/>
      <c r="J382" s="427"/>
      <c r="K382" s="427"/>
      <c r="L382" s="427"/>
      <c r="M382" s="428"/>
      <c r="N382" s="429"/>
      <c r="O382" s="430"/>
      <c r="P382" s="160"/>
      <c r="Q382" s="160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</row>
    <row r="383" spans="1:50" s="10" customFormat="1" ht="14.5">
      <c r="A383" s="6"/>
      <c r="B383" s="6"/>
      <c r="C383" s="6"/>
      <c r="D383" s="148"/>
      <c r="E383" s="147"/>
      <c r="F383" s="147" t="s">
        <v>55</v>
      </c>
      <c r="G383" s="147"/>
      <c r="H383" s="147"/>
      <c r="I383" s="147"/>
      <c r="J383" s="147"/>
      <c r="K383" s="147"/>
      <c r="L383" s="147"/>
      <c r="M383" s="149"/>
      <c r="N383" s="150"/>
      <c r="O383" s="151"/>
      <c r="P383" s="152"/>
      <c r="Q383" s="15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</row>
    <row r="384" spans="1:50" s="10" customFormat="1" ht="14">
      <c r="A384"/>
      <c r="B384"/>
      <c r="C384"/>
      <c r="D384" s="155"/>
      <c r="E384" s="154"/>
      <c r="F384" s="154"/>
      <c r="G384" s="154"/>
      <c r="H384" s="154"/>
      <c r="I384" s="154"/>
      <c r="J384" s="154"/>
      <c r="K384" s="154"/>
      <c r="L384" s="154"/>
      <c r="M384" s="156"/>
      <c r="N384" s="157"/>
      <c r="O384" s="158"/>
      <c r="P384" s="159"/>
      <c r="Q384" s="160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</row>
    <row r="385" spans="1:50" s="10" customFormat="1" ht="14">
      <c r="A385"/>
      <c r="B385"/>
      <c r="C385"/>
      <c r="D385" s="155"/>
      <c r="E385" s="162"/>
      <c r="F385" s="162"/>
      <c r="G385" s="162"/>
      <c r="H385" s="162"/>
      <c r="I385" s="162"/>
      <c r="J385" s="162"/>
      <c r="K385" s="162"/>
      <c r="L385" s="162"/>
      <c r="M385" s="164"/>
      <c r="N385" s="165"/>
      <c r="O385" s="166"/>
      <c r="P385" s="167"/>
      <c r="Q385" s="167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</row>
    <row r="386" spans="1:50" s="10" customFormat="1" ht="14">
      <c r="A386"/>
      <c r="B386"/>
      <c r="C386"/>
      <c r="D386" s="155"/>
      <c r="E386" s="161" t="str">
        <f>RECAP!F26</f>
        <v>STRUCTURAL STEEL</v>
      </c>
      <c r="F386" s="161"/>
      <c r="G386" s="161"/>
      <c r="H386" s="161"/>
      <c r="I386" s="161"/>
      <c r="J386" s="161"/>
      <c r="K386" s="161"/>
      <c r="L386" s="161"/>
      <c r="M386" s="164"/>
      <c r="N386" s="165"/>
      <c r="O386" s="166"/>
      <c r="P386" s="167"/>
      <c r="Q386" s="167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</row>
    <row r="387" spans="1:50" s="10" customFormat="1" ht="14">
      <c r="A387"/>
      <c r="B387"/>
      <c r="C387"/>
      <c r="D387" s="155"/>
      <c r="E387" s="154"/>
      <c r="F387" s="154"/>
      <c r="G387" s="154"/>
      <c r="H387" s="154"/>
      <c r="I387" s="154"/>
      <c r="J387" s="154"/>
      <c r="K387" s="154"/>
      <c r="L387" s="154"/>
      <c r="M387" s="156"/>
      <c r="N387" s="157"/>
      <c r="O387" s="158"/>
      <c r="P387" s="159"/>
      <c r="Q387" s="160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</row>
    <row r="388" spans="1:50" s="10" customFormat="1" ht="14">
      <c r="A388"/>
      <c r="B388"/>
      <c r="C388"/>
      <c r="D388" s="170"/>
      <c r="E388" s="171"/>
      <c r="F388" s="172"/>
      <c r="G388" s="172" t="s">
        <v>13</v>
      </c>
      <c r="H388" s="172"/>
      <c r="I388" s="172"/>
      <c r="J388" s="172"/>
      <c r="K388" s="172"/>
      <c r="L388" s="173"/>
      <c r="M388" s="174" t="s">
        <v>23</v>
      </c>
      <c r="N388" s="175" t="s">
        <v>151</v>
      </c>
      <c r="O388" s="176" t="s">
        <v>152</v>
      </c>
      <c r="P388" s="177" t="s">
        <v>153</v>
      </c>
      <c r="Q388" s="416" t="s">
        <v>17</v>
      </c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</row>
    <row r="389" spans="1:50" s="10" customFormat="1" ht="14">
      <c r="A389"/>
      <c r="B389"/>
      <c r="C389"/>
      <c r="D389" s="155"/>
      <c r="E389" s="179"/>
      <c r="F389" s="180"/>
      <c r="G389" s="180"/>
      <c r="H389" s="180"/>
      <c r="I389" s="180"/>
      <c r="J389" s="180"/>
      <c r="K389" s="180"/>
      <c r="L389" s="181"/>
      <c r="M389" s="182"/>
      <c r="N389" s="183"/>
      <c r="O389" s="184"/>
      <c r="P389" s="185"/>
      <c r="Q389" s="417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</row>
    <row r="390" spans="1:50" s="10" customFormat="1" ht="14.5" thickBot="1">
      <c r="A390"/>
      <c r="B390"/>
      <c r="C390"/>
      <c r="D390" s="148"/>
      <c r="E390" s="186" t="s">
        <v>154</v>
      </c>
      <c r="F390" s="187"/>
      <c r="G390" s="187"/>
      <c r="H390" s="187"/>
      <c r="I390" s="187"/>
      <c r="J390" s="187"/>
      <c r="K390" s="187"/>
      <c r="L390" s="188"/>
      <c r="M390" s="189"/>
      <c r="N390" s="190"/>
      <c r="O390" s="220"/>
      <c r="P390" s="221">
        <f>M390*O390</f>
        <v>0</v>
      </c>
      <c r="Q390" s="421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</row>
    <row r="391" spans="1:50" s="10" customFormat="1" ht="14.5" thickTop="1">
      <c r="A391"/>
      <c r="B391"/>
      <c r="C391"/>
      <c r="D391" s="155"/>
      <c r="E391" s="191"/>
      <c r="F391" s="192"/>
      <c r="G391" s="192"/>
      <c r="H391" s="192"/>
      <c r="I391" s="192"/>
      <c r="J391" s="192"/>
      <c r="K391" s="192"/>
      <c r="L391" s="193"/>
      <c r="M391" s="194"/>
      <c r="N391" s="195"/>
      <c r="O391" s="225"/>
      <c r="P391" s="226">
        <f>M391*O391</f>
        <v>0</v>
      </c>
      <c r="Q391" s="42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</row>
    <row r="392" spans="1:50" s="10" customFormat="1" ht="14">
      <c r="A392"/>
      <c r="B392"/>
      <c r="C392"/>
      <c r="D392" s="155"/>
      <c r="E392" s="196"/>
      <c r="F392" s="197"/>
      <c r="G392" s="197"/>
      <c r="H392" s="197"/>
      <c r="I392" s="197"/>
      <c r="J392" s="197"/>
      <c r="K392" s="197"/>
      <c r="L392" s="198"/>
      <c r="M392" s="199"/>
      <c r="N392" s="244"/>
      <c r="O392" s="235"/>
      <c r="P392" s="214">
        <f t="shared" ref="P392:P414" si="15">M392*O392</f>
        <v>0</v>
      </c>
      <c r="Q392" s="421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</row>
    <row r="393" spans="1:50" s="10" customFormat="1" ht="14">
      <c r="A393"/>
      <c r="B393"/>
      <c r="C393"/>
      <c r="D393" s="155"/>
      <c r="E393" s="202" t="s">
        <v>369</v>
      </c>
      <c r="F393" s="197"/>
      <c r="G393" s="197"/>
      <c r="H393" s="197"/>
      <c r="I393" s="197"/>
      <c r="J393" s="197"/>
      <c r="K393" s="197"/>
      <c r="L393" s="270">
        <v>44.63</v>
      </c>
      <c r="M393" s="206"/>
      <c r="N393" s="200"/>
      <c r="O393" s="235"/>
      <c r="P393" s="214">
        <f t="shared" si="15"/>
        <v>0</v>
      </c>
      <c r="Q393" s="421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</row>
    <row r="394" spans="1:50" s="10" customFormat="1" ht="14">
      <c r="A394"/>
      <c r="B394"/>
      <c r="C394"/>
      <c r="D394" s="155"/>
      <c r="E394" s="203" t="s">
        <v>370</v>
      </c>
      <c r="F394" s="197"/>
      <c r="G394" s="197"/>
      <c r="H394" s="197"/>
      <c r="I394" s="197"/>
      <c r="J394" s="197">
        <v>11</v>
      </c>
      <c r="K394" s="197" t="s">
        <v>371</v>
      </c>
      <c r="L394" s="198"/>
      <c r="M394" s="199">
        <v>254.595</v>
      </c>
      <c r="N394" s="200" t="s">
        <v>241</v>
      </c>
      <c r="O394" s="235">
        <v>3950</v>
      </c>
      <c r="P394" s="214">
        <f t="shared" si="15"/>
        <v>1005650.25</v>
      </c>
      <c r="Q394" s="421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</row>
    <row r="395" spans="1:50" s="10" customFormat="1" ht="13.25" customHeight="1">
      <c r="A395"/>
      <c r="B395"/>
      <c r="C395"/>
      <c r="D395" s="155"/>
      <c r="E395" s="218" t="s">
        <v>372</v>
      </c>
      <c r="F395" s="197"/>
      <c r="G395" s="197" t="s">
        <v>675</v>
      </c>
      <c r="H395" s="197"/>
      <c r="I395" s="197"/>
      <c r="J395" s="197"/>
      <c r="K395" s="197"/>
      <c r="L395" s="198"/>
      <c r="M395" s="199"/>
      <c r="N395" s="200" t="s">
        <v>5</v>
      </c>
      <c r="O395" s="235">
        <v>8</v>
      </c>
      <c r="P395" s="214">
        <f t="shared" si="15"/>
        <v>0</v>
      </c>
      <c r="Q395" s="421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</row>
    <row r="396" spans="1:50" s="10" customFormat="1" ht="13.25" customHeight="1">
      <c r="A396"/>
      <c r="B396"/>
      <c r="C396"/>
      <c r="D396" s="155"/>
      <c r="E396" s="218" t="s">
        <v>372</v>
      </c>
      <c r="F396" s="197"/>
      <c r="G396" s="197"/>
      <c r="H396" s="197"/>
      <c r="I396" s="197"/>
      <c r="J396" s="197"/>
      <c r="K396" s="197"/>
      <c r="L396" s="198"/>
      <c r="M396" s="199">
        <v>46290</v>
      </c>
      <c r="N396" s="200" t="s">
        <v>5</v>
      </c>
      <c r="O396" s="235">
        <v>5</v>
      </c>
      <c r="P396" s="214">
        <f t="shared" si="15"/>
        <v>231450</v>
      </c>
      <c r="Q396" s="421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</row>
    <row r="397" spans="1:50" s="10" customFormat="1" ht="14">
      <c r="A397"/>
      <c r="B397"/>
      <c r="C397"/>
      <c r="D397" s="155"/>
      <c r="E397" s="218" t="s">
        <v>12</v>
      </c>
      <c r="F397" s="197"/>
      <c r="G397" s="197"/>
      <c r="H397" s="197"/>
      <c r="I397" s="197"/>
      <c r="J397" s="197"/>
      <c r="K397" s="271">
        <v>0.1</v>
      </c>
      <c r="L397" s="198"/>
      <c r="M397" s="199">
        <f>M394*K397</f>
        <v>25.459500000000002</v>
      </c>
      <c r="N397" s="200" t="s">
        <v>241</v>
      </c>
      <c r="O397" s="235">
        <f>O394</f>
        <v>3950</v>
      </c>
      <c r="P397" s="214">
        <f t="shared" si="15"/>
        <v>100565.02500000001</v>
      </c>
      <c r="Q397" s="421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</row>
    <row r="398" spans="1:50" s="10" customFormat="1" ht="14">
      <c r="A398"/>
      <c r="B398"/>
      <c r="C398"/>
      <c r="D398" s="155"/>
      <c r="E398" s="268" t="s">
        <v>373</v>
      </c>
      <c r="F398" s="197"/>
      <c r="G398" s="197"/>
      <c r="H398" s="197"/>
      <c r="I398" s="197"/>
      <c r="J398" s="197"/>
      <c r="K398" s="197"/>
      <c r="L398" s="198"/>
      <c r="M398" s="199"/>
      <c r="N398" s="200"/>
      <c r="O398" s="235"/>
      <c r="P398" s="214">
        <f t="shared" si="15"/>
        <v>0</v>
      </c>
      <c r="Q398" s="421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</row>
    <row r="399" spans="1:50" s="10" customFormat="1" ht="14">
      <c r="A399"/>
      <c r="B399"/>
      <c r="C399"/>
      <c r="D399" s="155"/>
      <c r="E399" s="203" t="s">
        <v>374</v>
      </c>
      <c r="F399" s="197"/>
      <c r="G399" s="197"/>
      <c r="H399" s="197"/>
      <c r="I399" s="197"/>
      <c r="J399" s="197"/>
      <c r="K399" s="197"/>
      <c r="L399" s="198"/>
      <c r="M399" s="199">
        <f>M394</f>
        <v>254.595</v>
      </c>
      <c r="N399" s="200" t="s">
        <v>241</v>
      </c>
      <c r="O399" s="235">
        <v>1500</v>
      </c>
      <c r="P399" s="214">
        <f t="shared" si="15"/>
        <v>381892.5</v>
      </c>
      <c r="Q399" s="421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</row>
    <row r="400" spans="1:50" s="10" customFormat="1" ht="14">
      <c r="A400"/>
      <c r="B400"/>
      <c r="C400"/>
      <c r="D400" s="155"/>
      <c r="E400" s="218" t="s">
        <v>375</v>
      </c>
      <c r="F400" s="197"/>
      <c r="G400" s="197"/>
      <c r="H400" s="197"/>
      <c r="I400" s="197"/>
      <c r="J400" s="197"/>
      <c r="K400" s="197"/>
      <c r="L400" s="198"/>
      <c r="M400" s="199">
        <f>M396+M395</f>
        <v>46290</v>
      </c>
      <c r="N400" s="200" t="s">
        <v>5</v>
      </c>
      <c r="O400" s="235">
        <v>2</v>
      </c>
      <c r="P400" s="214">
        <f t="shared" si="15"/>
        <v>92580</v>
      </c>
      <c r="Q400" s="421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</row>
    <row r="401" spans="1:50" s="10" customFormat="1" ht="14">
      <c r="A401"/>
      <c r="B401"/>
      <c r="C401"/>
      <c r="D401" s="155"/>
      <c r="E401" s="218" t="s">
        <v>12</v>
      </c>
      <c r="F401" s="197"/>
      <c r="G401" s="197"/>
      <c r="H401" s="197"/>
      <c r="I401" s="197"/>
      <c r="J401" s="197"/>
      <c r="K401" s="197"/>
      <c r="L401" s="198"/>
      <c r="M401" s="199">
        <f>M397</f>
        <v>25.459500000000002</v>
      </c>
      <c r="N401" s="200" t="s">
        <v>241</v>
      </c>
      <c r="O401" s="235">
        <f>O399</f>
        <v>1500</v>
      </c>
      <c r="P401" s="214">
        <f t="shared" si="15"/>
        <v>38189.25</v>
      </c>
      <c r="Q401" s="42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</row>
    <row r="402" spans="1:50" s="10" customFormat="1" ht="14">
      <c r="A402"/>
      <c r="B402"/>
      <c r="C402"/>
      <c r="D402" s="155"/>
      <c r="E402" s="268" t="s">
        <v>373</v>
      </c>
      <c r="F402" s="197"/>
      <c r="G402" s="197"/>
      <c r="H402" s="197"/>
      <c r="I402" s="197"/>
      <c r="J402" s="197"/>
      <c r="K402" s="197"/>
      <c r="L402" s="198"/>
      <c r="M402" s="206"/>
      <c r="N402" s="200"/>
      <c r="O402" s="235"/>
      <c r="P402" s="214">
        <f t="shared" si="15"/>
        <v>0</v>
      </c>
      <c r="Q402" s="421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</row>
    <row r="403" spans="1:50" s="10" customFormat="1" ht="14">
      <c r="A403"/>
      <c r="B403"/>
      <c r="C403"/>
      <c r="D403" s="155"/>
      <c r="E403" s="218" t="s">
        <v>628</v>
      </c>
      <c r="F403" s="197"/>
      <c r="G403" s="197"/>
      <c r="H403" s="197"/>
      <c r="I403" s="197"/>
      <c r="J403" s="197"/>
      <c r="K403" s="197"/>
      <c r="L403" s="198"/>
      <c r="M403" s="206">
        <v>1</v>
      </c>
      <c r="N403" s="200" t="s">
        <v>379</v>
      </c>
      <c r="O403" s="222">
        <v>9500</v>
      </c>
      <c r="P403" s="214">
        <f t="shared" si="15"/>
        <v>9500</v>
      </c>
      <c r="Q403" s="421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</row>
    <row r="404" spans="1:50" s="10" customFormat="1" ht="14">
      <c r="A404"/>
      <c r="B404"/>
      <c r="C404"/>
      <c r="D404" s="155"/>
      <c r="E404" s="196"/>
      <c r="F404" s="197"/>
      <c r="G404" s="197"/>
      <c r="H404" s="197"/>
      <c r="I404" s="197"/>
      <c r="J404" s="197"/>
      <c r="K404" s="197"/>
      <c r="L404" s="198"/>
      <c r="M404" s="206"/>
      <c r="N404" s="200"/>
      <c r="O404" s="222"/>
      <c r="P404" s="214">
        <f t="shared" si="15"/>
        <v>0</v>
      </c>
      <c r="Q404" s="421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</row>
    <row r="405" spans="1:50" s="10" customFormat="1" ht="14">
      <c r="A405"/>
      <c r="B405"/>
      <c r="C405"/>
      <c r="D405" s="155"/>
      <c r="E405" s="203"/>
      <c r="F405" s="197"/>
      <c r="G405" s="197"/>
      <c r="H405" s="197"/>
      <c r="I405" s="197"/>
      <c r="J405" s="197"/>
      <c r="K405" s="197"/>
      <c r="L405" s="198"/>
      <c r="M405" s="206"/>
      <c r="N405" s="200"/>
      <c r="O405" s="222"/>
      <c r="P405" s="214">
        <f t="shared" si="15"/>
        <v>0</v>
      </c>
      <c r="Q405" s="421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</row>
    <row r="406" spans="1:50" s="10" customFormat="1" ht="14">
      <c r="A406"/>
      <c r="B406"/>
      <c r="C406"/>
      <c r="D406" s="155"/>
      <c r="E406" s="202" t="s">
        <v>376</v>
      </c>
      <c r="F406" s="197"/>
      <c r="G406" s="197"/>
      <c r="H406" s="197"/>
      <c r="I406" s="197"/>
      <c r="J406" s="197"/>
      <c r="K406" s="197"/>
      <c r="L406" s="198"/>
      <c r="M406" s="206"/>
      <c r="N406" s="200"/>
      <c r="O406" s="222"/>
      <c r="P406" s="214">
        <f t="shared" si="15"/>
        <v>0</v>
      </c>
      <c r="Q406" s="421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</row>
    <row r="407" spans="1:50" s="10" customFormat="1" ht="14">
      <c r="A407"/>
      <c r="B407"/>
      <c r="C407"/>
      <c r="D407" s="155"/>
      <c r="E407" s="218" t="s">
        <v>377</v>
      </c>
      <c r="F407" s="197"/>
      <c r="G407" s="197"/>
      <c r="H407" s="197"/>
      <c r="I407" s="197"/>
      <c r="J407" s="197"/>
      <c r="K407" s="197"/>
      <c r="L407" s="198"/>
      <c r="M407" s="199">
        <v>12</v>
      </c>
      <c r="N407" s="200" t="s">
        <v>162</v>
      </c>
      <c r="O407" s="222">
        <v>400</v>
      </c>
      <c r="P407" s="214">
        <f t="shared" si="15"/>
        <v>4800</v>
      </c>
      <c r="Q407" s="421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</row>
    <row r="408" spans="1:50" s="10" customFormat="1" ht="14">
      <c r="A408"/>
      <c r="B408"/>
      <c r="C408"/>
      <c r="D408" s="155"/>
      <c r="E408" s="218" t="s">
        <v>378</v>
      </c>
      <c r="F408" s="197"/>
      <c r="G408" s="197"/>
      <c r="H408" s="197"/>
      <c r="I408" s="197"/>
      <c r="J408" s="197"/>
      <c r="K408" s="197"/>
      <c r="L408" s="198"/>
      <c r="M408" s="199">
        <v>1</v>
      </c>
      <c r="N408" s="200" t="s">
        <v>164</v>
      </c>
      <c r="O408" s="222">
        <v>5500</v>
      </c>
      <c r="P408" s="214">
        <f t="shared" si="15"/>
        <v>5500</v>
      </c>
      <c r="Q408" s="421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</row>
    <row r="409" spans="1:50" s="10" customFormat="1" ht="14">
      <c r="A409"/>
      <c r="B409"/>
      <c r="C409"/>
      <c r="D409" s="155"/>
      <c r="E409" s="218" t="s">
        <v>754</v>
      </c>
      <c r="F409" s="197"/>
      <c r="G409" s="197"/>
      <c r="H409" s="197"/>
      <c r="I409" s="197"/>
      <c r="J409" s="197"/>
      <c r="K409" s="197"/>
      <c r="L409" s="198"/>
      <c r="M409" s="199">
        <v>60</v>
      </c>
      <c r="N409" s="200" t="s">
        <v>7</v>
      </c>
      <c r="O409" s="222">
        <v>175</v>
      </c>
      <c r="P409" s="214">
        <f t="shared" si="15"/>
        <v>10500</v>
      </c>
      <c r="Q409" s="421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</row>
    <row r="410" spans="1:50" s="10" customFormat="1" ht="14">
      <c r="A410"/>
      <c r="B410"/>
      <c r="C410"/>
      <c r="D410" s="155"/>
      <c r="E410" s="218" t="s">
        <v>753</v>
      </c>
      <c r="F410" s="197"/>
      <c r="G410" s="197"/>
      <c r="H410" s="197"/>
      <c r="I410" s="197"/>
      <c r="J410" s="197"/>
      <c r="K410" s="197"/>
      <c r="L410" s="198"/>
      <c r="M410" s="199">
        <f>59*15</f>
        <v>885</v>
      </c>
      <c r="N410" s="200" t="s">
        <v>5</v>
      </c>
      <c r="O410" s="222">
        <v>45</v>
      </c>
      <c r="P410" s="214">
        <f t="shared" si="15"/>
        <v>39825</v>
      </c>
      <c r="Q410" s="421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</row>
    <row r="411" spans="1:50" s="10" customFormat="1" ht="14">
      <c r="A411"/>
      <c r="B411"/>
      <c r="C411"/>
      <c r="D411" s="155"/>
      <c r="E411" s="218" t="s">
        <v>480</v>
      </c>
      <c r="F411" s="197"/>
      <c r="G411" s="197"/>
      <c r="H411" s="197"/>
      <c r="I411" s="197"/>
      <c r="J411" s="197"/>
      <c r="K411" s="197"/>
      <c r="L411" s="198"/>
      <c r="M411" s="199">
        <v>4852</v>
      </c>
      <c r="N411" s="200" t="s">
        <v>5</v>
      </c>
      <c r="O411" s="222">
        <v>30</v>
      </c>
      <c r="P411" s="214">
        <f t="shared" si="15"/>
        <v>145560</v>
      </c>
      <c r="Q411" s="42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</row>
    <row r="412" spans="1:50" s="10" customFormat="1" ht="14">
      <c r="A412"/>
      <c r="B412"/>
      <c r="C412"/>
      <c r="D412" s="155"/>
      <c r="E412" s="218"/>
      <c r="F412" s="197"/>
      <c r="G412" s="197"/>
      <c r="H412" s="197"/>
      <c r="I412" s="197"/>
      <c r="J412" s="197"/>
      <c r="K412" s="197"/>
      <c r="L412" s="198"/>
      <c r="M412" s="199"/>
      <c r="N412" s="200"/>
      <c r="O412" s="222"/>
      <c r="P412" s="214">
        <f t="shared" si="15"/>
        <v>0</v>
      </c>
      <c r="Q412" s="421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</row>
    <row r="413" spans="1:50" s="10" customFormat="1" ht="14">
      <c r="A413"/>
      <c r="B413"/>
      <c r="C413"/>
      <c r="D413" s="155"/>
      <c r="E413" s="218"/>
      <c r="F413" s="197"/>
      <c r="G413" s="197"/>
      <c r="H413" s="197"/>
      <c r="I413" s="197"/>
      <c r="J413" s="197"/>
      <c r="K413" s="197"/>
      <c r="L413" s="198"/>
      <c r="M413" s="199"/>
      <c r="N413" s="200"/>
      <c r="O413" s="222"/>
      <c r="P413" s="214">
        <f t="shared" si="15"/>
        <v>0</v>
      </c>
      <c r="Q413" s="421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</row>
    <row r="414" spans="1:50" s="10" customFormat="1" ht="14">
      <c r="A414"/>
      <c r="B414"/>
      <c r="C414"/>
      <c r="D414" s="155"/>
      <c r="E414" s="196"/>
      <c r="F414" s="197"/>
      <c r="G414" s="197"/>
      <c r="H414" s="197"/>
      <c r="I414" s="197"/>
      <c r="J414" s="197"/>
      <c r="K414" s="197"/>
      <c r="L414" s="198"/>
      <c r="M414" s="199"/>
      <c r="N414" s="200"/>
      <c r="O414" s="246"/>
      <c r="P414" s="214">
        <f t="shared" si="15"/>
        <v>0</v>
      </c>
      <c r="Q414" s="421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</row>
    <row r="415" spans="1:50" s="10" customFormat="1" ht="14">
      <c r="A415"/>
      <c r="B415"/>
      <c r="C415"/>
      <c r="D415" s="155"/>
      <c r="E415" s="179"/>
      <c r="F415" s="180"/>
      <c r="G415" s="180"/>
      <c r="H415" s="180"/>
      <c r="I415" s="180"/>
      <c r="J415" s="180"/>
      <c r="K415" s="180"/>
      <c r="L415" s="181"/>
      <c r="M415" s="182"/>
      <c r="N415" s="183"/>
      <c r="O415" s="184"/>
      <c r="P415" s="185"/>
      <c r="Q415" s="18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</row>
    <row r="416" spans="1:50" s="10" customFormat="1" ht="14">
      <c r="A416"/>
      <c r="B416"/>
      <c r="C416"/>
      <c r="D416" s="155"/>
      <c r="E416" s="202"/>
      <c r="F416" s="241"/>
      <c r="G416" s="241"/>
      <c r="H416" s="241"/>
      <c r="I416" s="241"/>
      <c r="J416" s="241"/>
      <c r="K416" s="241"/>
      <c r="L416" s="242"/>
      <c r="M416" s="243"/>
      <c r="N416" s="244"/>
      <c r="O416" s="245"/>
      <c r="P416" s="214">
        <f>SUM(P389:P415)</f>
        <v>2066012.0249999999</v>
      </c>
      <c r="Q416" s="421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</row>
    <row r="417" spans="1:50" s="10" customFormat="1" ht="14">
      <c r="A417"/>
      <c r="B417"/>
      <c r="C417"/>
      <c r="D417" s="155"/>
      <c r="E417" s="427"/>
      <c r="F417" s="427"/>
      <c r="G417" s="427"/>
      <c r="H417" s="427"/>
      <c r="I417" s="427"/>
      <c r="J417" s="427"/>
      <c r="K417" s="427"/>
      <c r="L417" s="427"/>
      <c r="M417" s="428"/>
      <c r="N417" s="429"/>
      <c r="O417" s="430"/>
      <c r="P417" s="160"/>
      <c r="Q417" s="160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</row>
    <row r="418" spans="1:50" s="10" customFormat="1" ht="14.5">
      <c r="A418" s="6"/>
      <c r="B418" s="6"/>
      <c r="C418" s="6"/>
      <c r="D418" s="148"/>
      <c r="E418" s="147"/>
      <c r="F418" s="147" t="s">
        <v>59</v>
      </c>
      <c r="G418" s="147"/>
      <c r="H418" s="147"/>
      <c r="I418" s="147"/>
      <c r="J418" s="147"/>
      <c r="K418" s="147"/>
      <c r="L418" s="147"/>
      <c r="M418" s="149"/>
      <c r="N418" s="150"/>
      <c r="O418" s="151"/>
      <c r="P418" s="152"/>
      <c r="Q418" s="153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</row>
    <row r="419" spans="1:50" s="10" customFormat="1" ht="14">
      <c r="A419"/>
      <c r="B419"/>
      <c r="C419"/>
      <c r="D419" s="155"/>
      <c r="E419" s="154"/>
      <c r="F419" s="154"/>
      <c r="G419" s="154"/>
      <c r="H419" s="154"/>
      <c r="I419" s="154"/>
      <c r="J419" s="154"/>
      <c r="K419" s="154"/>
      <c r="L419" s="154"/>
      <c r="M419" s="156"/>
      <c r="N419" s="157"/>
      <c r="O419" s="158"/>
      <c r="P419" s="159"/>
      <c r="Q419" s="160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</row>
    <row r="420" spans="1:50" s="10" customFormat="1" ht="14">
      <c r="A420"/>
      <c r="B420"/>
      <c r="C420"/>
      <c r="D420" s="155"/>
      <c r="E420" s="162"/>
      <c r="F420" s="162"/>
      <c r="G420" s="162"/>
      <c r="H420" s="162"/>
      <c r="I420" s="162"/>
      <c r="J420" s="162"/>
      <c r="K420" s="162"/>
      <c r="L420" s="162"/>
      <c r="M420" s="164"/>
      <c r="N420" s="165"/>
      <c r="O420" s="166"/>
      <c r="P420" s="167"/>
      <c r="Q420" s="167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</row>
    <row r="421" spans="1:50" s="10" customFormat="1" ht="14">
      <c r="A421"/>
      <c r="B421"/>
      <c r="C421"/>
      <c r="D421" s="155"/>
      <c r="E421" s="161" t="str">
        <f>RECAP!F28</f>
        <v>ROUGH CARPENTRY</v>
      </c>
      <c r="F421" s="161"/>
      <c r="G421" s="161"/>
      <c r="H421" s="161"/>
      <c r="I421" s="161"/>
      <c r="J421" s="161"/>
      <c r="K421" s="161"/>
      <c r="L421" s="161"/>
      <c r="M421" s="164"/>
      <c r="N421" s="165"/>
      <c r="O421" s="166"/>
      <c r="P421" s="167"/>
      <c r="Q421" s="167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</row>
    <row r="422" spans="1:50" s="10" customFormat="1" ht="14">
      <c r="A422"/>
      <c r="B422"/>
      <c r="C422"/>
      <c r="D422" s="155"/>
      <c r="E422" s="154"/>
      <c r="F422" s="154"/>
      <c r="G422" s="154"/>
      <c r="H422" s="154"/>
      <c r="I422" s="154"/>
      <c r="J422" s="154"/>
      <c r="K422" s="154"/>
      <c r="L422" s="154"/>
      <c r="M422" s="156"/>
      <c r="N422" s="157"/>
      <c r="O422" s="158"/>
      <c r="P422" s="159"/>
      <c r="Q422" s="178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</row>
    <row r="423" spans="1:50" s="10" customFormat="1" ht="14">
      <c r="A423"/>
      <c r="B423"/>
      <c r="C423"/>
      <c r="D423" s="170"/>
      <c r="E423" s="171"/>
      <c r="F423" s="172"/>
      <c r="G423" s="172" t="s">
        <v>13</v>
      </c>
      <c r="H423" s="172"/>
      <c r="I423" s="172"/>
      <c r="J423" s="172"/>
      <c r="K423" s="172"/>
      <c r="L423" s="173"/>
      <c r="M423" s="174" t="s">
        <v>23</v>
      </c>
      <c r="N423" s="175" t="s">
        <v>151</v>
      </c>
      <c r="O423" s="176" t="s">
        <v>152</v>
      </c>
      <c r="P423" s="177" t="s">
        <v>153</v>
      </c>
      <c r="Q423" s="416" t="s">
        <v>17</v>
      </c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</row>
    <row r="424" spans="1:50" s="10" customFormat="1" ht="14">
      <c r="A424"/>
      <c r="B424"/>
      <c r="C424"/>
      <c r="D424" s="155"/>
      <c r="E424" s="179"/>
      <c r="F424" s="180"/>
      <c r="G424" s="180"/>
      <c r="H424" s="180"/>
      <c r="I424" s="180"/>
      <c r="J424" s="180"/>
      <c r="K424" s="180"/>
      <c r="L424" s="181"/>
      <c r="M424" s="182"/>
      <c r="N424" s="183"/>
      <c r="O424" s="184"/>
      <c r="P424" s="185"/>
      <c r="Q424" s="417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</row>
    <row r="425" spans="1:50" s="10" customFormat="1" ht="14.5" thickBot="1">
      <c r="A425"/>
      <c r="B425"/>
      <c r="C425"/>
      <c r="D425" s="148"/>
      <c r="E425" s="186" t="s">
        <v>154</v>
      </c>
      <c r="F425" s="187"/>
      <c r="G425" s="187"/>
      <c r="H425" s="187"/>
      <c r="I425" s="187"/>
      <c r="J425" s="187"/>
      <c r="K425" s="187"/>
      <c r="L425" s="188"/>
      <c r="M425" s="189"/>
      <c r="N425" s="190"/>
      <c r="O425" s="220"/>
      <c r="P425" s="221">
        <f>M425*O425</f>
        <v>0</v>
      </c>
      <c r="Q425" s="421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</row>
    <row r="426" spans="1:50" s="10" customFormat="1" ht="14.5" thickTop="1">
      <c r="A426"/>
      <c r="B426"/>
      <c r="C426"/>
      <c r="D426" s="155"/>
      <c r="E426" s="191"/>
      <c r="F426" s="192"/>
      <c r="G426" s="192"/>
      <c r="H426" s="192"/>
      <c r="I426" s="192"/>
      <c r="J426" s="192"/>
      <c r="K426" s="192"/>
      <c r="L426" s="193"/>
      <c r="M426" s="194"/>
      <c r="N426" s="195"/>
      <c r="O426" s="253"/>
      <c r="P426" s="226">
        <f>M426*O426</f>
        <v>0</v>
      </c>
      <c r="Q426" s="421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</row>
    <row r="427" spans="1:50" s="10" customFormat="1" ht="14">
      <c r="A427"/>
      <c r="B427"/>
      <c r="C427"/>
      <c r="D427" s="155"/>
      <c r="E427" s="196" t="s">
        <v>380</v>
      </c>
      <c r="F427" s="197"/>
      <c r="G427" s="197"/>
      <c r="H427" s="197"/>
      <c r="I427" s="197"/>
      <c r="J427" s="197"/>
      <c r="K427" s="197"/>
      <c r="L427" s="198"/>
      <c r="M427" s="199">
        <v>46290</v>
      </c>
      <c r="N427" s="200" t="s">
        <v>5</v>
      </c>
      <c r="O427" s="222">
        <v>1.25</v>
      </c>
      <c r="P427" s="214">
        <f t="shared" ref="P427:P433" si="16">M427*O427</f>
        <v>57862.5</v>
      </c>
      <c r="Q427" s="421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</row>
    <row r="428" spans="1:50" s="10" customFormat="1" ht="14">
      <c r="A428"/>
      <c r="B428"/>
      <c r="C428"/>
      <c r="D428" s="155"/>
      <c r="E428" s="203" t="s">
        <v>381</v>
      </c>
      <c r="F428" s="197"/>
      <c r="G428" s="197"/>
      <c r="H428" s="197"/>
      <c r="I428" s="197"/>
      <c r="J428" s="197"/>
      <c r="K428" s="197"/>
      <c r="L428" s="198"/>
      <c r="M428" s="206"/>
      <c r="N428" s="200"/>
      <c r="O428" s="222"/>
      <c r="P428" s="214">
        <f t="shared" si="16"/>
        <v>0</v>
      </c>
      <c r="Q428" s="421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</row>
    <row r="429" spans="1:50" s="10" customFormat="1" ht="14">
      <c r="A429"/>
      <c r="B429"/>
      <c r="C429"/>
      <c r="D429" s="155"/>
      <c r="E429" s="203"/>
      <c r="F429" s="197"/>
      <c r="G429" s="197"/>
      <c r="H429" s="197"/>
      <c r="I429" s="197"/>
      <c r="J429" s="197"/>
      <c r="K429" s="197"/>
      <c r="L429" s="198"/>
      <c r="M429" s="206"/>
      <c r="N429" s="200"/>
      <c r="O429" s="222"/>
      <c r="P429" s="214">
        <f t="shared" si="16"/>
        <v>0</v>
      </c>
      <c r="Q429" s="421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</row>
    <row r="430" spans="1:50" s="10" customFormat="1" ht="14">
      <c r="A430"/>
      <c r="B430"/>
      <c r="C430"/>
      <c r="D430" s="155"/>
      <c r="E430" s="203" t="s">
        <v>764</v>
      </c>
      <c r="F430" s="197"/>
      <c r="G430" s="197"/>
      <c r="H430" s="197"/>
      <c r="I430" s="197"/>
      <c r="J430" s="197"/>
      <c r="K430" s="197"/>
      <c r="L430" s="198"/>
      <c r="M430" s="206">
        <v>1070</v>
      </c>
      <c r="N430" s="200" t="s">
        <v>5</v>
      </c>
      <c r="O430" s="222">
        <v>45</v>
      </c>
      <c r="P430" s="214">
        <f t="shared" si="16"/>
        <v>48150</v>
      </c>
      <c r="Q430" s="421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</row>
    <row r="431" spans="1:50" s="10" customFormat="1" ht="14">
      <c r="A431"/>
      <c r="B431"/>
      <c r="C431"/>
      <c r="D431" s="155"/>
      <c r="E431" s="203"/>
      <c r="F431" s="197"/>
      <c r="G431" s="197"/>
      <c r="H431" s="197"/>
      <c r="I431" s="197"/>
      <c r="J431" s="197"/>
      <c r="K431" s="197"/>
      <c r="L431" s="198"/>
      <c r="M431" s="206"/>
      <c r="N431" s="200"/>
      <c r="O431" s="222"/>
      <c r="P431" s="214">
        <f t="shared" si="16"/>
        <v>0</v>
      </c>
      <c r="Q431" s="42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</row>
    <row r="432" spans="1:50" s="10" customFormat="1" ht="14">
      <c r="A432"/>
      <c r="B432"/>
      <c r="C432"/>
      <c r="D432" s="155"/>
      <c r="E432" s="203"/>
      <c r="F432" s="197"/>
      <c r="G432" s="197"/>
      <c r="H432" s="197"/>
      <c r="I432" s="197"/>
      <c r="J432" s="197"/>
      <c r="K432" s="197"/>
      <c r="L432" s="198"/>
      <c r="M432" s="206"/>
      <c r="N432" s="200"/>
      <c r="O432" s="222"/>
      <c r="P432" s="214">
        <f t="shared" si="16"/>
        <v>0</v>
      </c>
      <c r="Q432" s="421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</row>
    <row r="433" spans="1:50" s="10" customFormat="1" ht="14">
      <c r="A433"/>
      <c r="B433"/>
      <c r="C433"/>
      <c r="D433" s="155"/>
      <c r="E433" s="196"/>
      <c r="F433" s="197"/>
      <c r="G433" s="197"/>
      <c r="H433" s="197"/>
      <c r="I433" s="197"/>
      <c r="J433" s="197"/>
      <c r="K433" s="197"/>
      <c r="L433" s="198"/>
      <c r="M433" s="199"/>
      <c r="N433" s="200"/>
      <c r="O433" s="246"/>
      <c r="P433" s="214">
        <f t="shared" si="16"/>
        <v>0</v>
      </c>
      <c r="Q433" s="421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</row>
    <row r="434" spans="1:50" s="10" customFormat="1" ht="14">
      <c r="A434"/>
      <c r="B434"/>
      <c r="C434"/>
      <c r="D434" s="155"/>
      <c r="E434" s="179"/>
      <c r="F434" s="180"/>
      <c r="G434" s="180"/>
      <c r="H434" s="180"/>
      <c r="I434" s="180"/>
      <c r="J434" s="180"/>
      <c r="K434" s="180"/>
      <c r="L434" s="181"/>
      <c r="M434" s="182"/>
      <c r="N434" s="183"/>
      <c r="O434" s="184"/>
      <c r="P434" s="185"/>
      <c r="Q434" s="185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</row>
    <row r="435" spans="1:50" s="10" customFormat="1" ht="14">
      <c r="A435"/>
      <c r="B435"/>
      <c r="C435"/>
      <c r="D435" s="155"/>
      <c r="E435" s="202"/>
      <c r="F435" s="241"/>
      <c r="G435" s="241"/>
      <c r="H435" s="241"/>
      <c r="I435" s="241"/>
      <c r="J435" s="241"/>
      <c r="K435" s="241"/>
      <c r="L435" s="242"/>
      <c r="M435" s="243"/>
      <c r="N435" s="244"/>
      <c r="O435" s="245"/>
      <c r="P435" s="214">
        <f>SUM(P424:P434)</f>
        <v>106012.5</v>
      </c>
      <c r="Q435" s="421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</row>
    <row r="436" spans="1:50" s="10" customFormat="1" ht="14">
      <c r="A436"/>
      <c r="B436"/>
      <c r="C436"/>
      <c r="D436" s="155"/>
      <c r="E436" s="154"/>
      <c r="F436" s="154"/>
      <c r="G436" s="154"/>
      <c r="H436" s="154"/>
      <c r="I436" s="154"/>
      <c r="J436" s="154"/>
      <c r="K436" s="154"/>
      <c r="L436" s="154"/>
      <c r="M436" s="156"/>
      <c r="N436" s="157"/>
      <c r="O436" s="158"/>
      <c r="P436" s="159"/>
      <c r="Q436" s="160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</row>
    <row r="437" spans="1:50" s="10" customFormat="1" ht="14">
      <c r="A437"/>
      <c r="B437"/>
      <c r="C437"/>
      <c r="D437" s="155"/>
      <c r="E437" s="162"/>
      <c r="F437" s="162"/>
      <c r="G437" s="162"/>
      <c r="H437" s="162"/>
      <c r="I437" s="162"/>
      <c r="J437" s="162"/>
      <c r="K437" s="162"/>
      <c r="L437" s="162"/>
      <c r="M437" s="164"/>
      <c r="N437" s="165"/>
      <c r="O437" s="166"/>
      <c r="P437" s="167"/>
      <c r="Q437" s="16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</row>
    <row r="438" spans="1:50" s="10" customFormat="1" ht="14">
      <c r="A438"/>
      <c r="B438"/>
      <c r="C438"/>
      <c r="D438" s="155"/>
      <c r="E438" s="161" t="str">
        <f>RECAP!F29</f>
        <v xml:space="preserve">FINISH CARPENTRY / MILLWORK </v>
      </c>
      <c r="F438" s="161"/>
      <c r="G438" s="161"/>
      <c r="H438" s="161"/>
      <c r="I438" s="161"/>
      <c r="J438" s="161"/>
      <c r="K438" s="161"/>
      <c r="L438" s="161"/>
      <c r="M438" s="164"/>
      <c r="N438" s="165"/>
      <c r="O438" s="166"/>
      <c r="P438" s="167"/>
      <c r="Q438" s="167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</row>
    <row r="439" spans="1:50" s="10" customFormat="1" ht="14">
      <c r="A439"/>
      <c r="B439"/>
      <c r="C439"/>
      <c r="D439" s="155"/>
      <c r="E439" s="154"/>
      <c r="F439" s="154"/>
      <c r="G439" s="154"/>
      <c r="H439" s="154"/>
      <c r="I439" s="154"/>
      <c r="J439" s="154"/>
      <c r="K439" s="154"/>
      <c r="L439" s="154"/>
      <c r="M439" s="156"/>
      <c r="N439" s="157"/>
      <c r="O439" s="158"/>
      <c r="P439" s="159"/>
      <c r="Q439" s="160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</row>
    <row r="440" spans="1:50" s="10" customFormat="1" ht="14">
      <c r="A440"/>
      <c r="B440"/>
      <c r="C440"/>
      <c r="D440" s="155"/>
      <c r="E440" s="171"/>
      <c r="F440" s="172"/>
      <c r="G440" s="172" t="s">
        <v>13</v>
      </c>
      <c r="H440" s="172"/>
      <c r="I440" s="172"/>
      <c r="J440" s="172"/>
      <c r="K440" s="172"/>
      <c r="L440" s="173"/>
      <c r="M440" s="174" t="s">
        <v>23</v>
      </c>
      <c r="N440" s="175" t="s">
        <v>151</v>
      </c>
      <c r="O440" s="176" t="s">
        <v>152</v>
      </c>
      <c r="P440" s="177" t="s">
        <v>153</v>
      </c>
      <c r="Q440" s="416" t="s">
        <v>17</v>
      </c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</row>
    <row r="441" spans="1:50" s="10" customFormat="1" ht="14">
      <c r="A441"/>
      <c r="B441"/>
      <c r="C441"/>
      <c r="D441" s="155"/>
      <c r="E441" s="179"/>
      <c r="F441" s="180"/>
      <c r="G441" s="180"/>
      <c r="H441" s="180"/>
      <c r="I441" s="180"/>
      <c r="J441" s="180"/>
      <c r="K441" s="180"/>
      <c r="L441" s="181"/>
      <c r="M441" s="182"/>
      <c r="N441" s="183"/>
      <c r="O441" s="184"/>
      <c r="P441" s="185"/>
      <c r="Q441" s="417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</row>
    <row r="442" spans="1:50" s="10" customFormat="1" ht="14.5" thickBot="1">
      <c r="A442"/>
      <c r="B442"/>
      <c r="C442"/>
      <c r="D442" s="155"/>
      <c r="E442" s="186" t="s">
        <v>154</v>
      </c>
      <c r="F442" s="187"/>
      <c r="G442" s="187"/>
      <c r="H442" s="187"/>
      <c r="I442" s="187"/>
      <c r="J442" s="187"/>
      <c r="K442" s="187"/>
      <c r="L442" s="188"/>
      <c r="M442" s="189"/>
      <c r="N442" s="190"/>
      <c r="O442" s="220"/>
      <c r="P442" s="221">
        <f>M442*O442</f>
        <v>0</v>
      </c>
      <c r="Q442" s="421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</row>
    <row r="443" spans="1:50" s="10" customFormat="1" ht="14.5" thickTop="1">
      <c r="A443"/>
      <c r="B443"/>
      <c r="C443"/>
      <c r="D443" s="155"/>
      <c r="E443" s="191"/>
      <c r="F443" s="192"/>
      <c r="G443" s="192"/>
      <c r="H443" s="192"/>
      <c r="I443" s="192"/>
      <c r="J443" s="192"/>
      <c r="K443" s="192"/>
      <c r="L443" s="193"/>
      <c r="M443" s="194"/>
      <c r="N443" s="195"/>
      <c r="O443" s="225"/>
      <c r="P443" s="226">
        <f>M443*O443</f>
        <v>0</v>
      </c>
      <c r="Q443" s="421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</row>
    <row r="444" spans="1:50" s="10" customFormat="1" ht="14">
      <c r="A444"/>
      <c r="B444"/>
      <c r="C444"/>
      <c r="D444" s="155"/>
      <c r="E444" s="217" t="s">
        <v>382</v>
      </c>
      <c r="F444" s="197"/>
      <c r="G444" s="197"/>
      <c r="H444" s="197"/>
      <c r="I444" s="197"/>
      <c r="J444" s="197"/>
      <c r="K444" s="197"/>
      <c r="L444" s="198"/>
      <c r="M444" s="206"/>
      <c r="N444" s="200"/>
      <c r="O444" s="222"/>
      <c r="P444" s="214">
        <f t="shared" ref="P444:P458" si="17">M444*O444</f>
        <v>0</v>
      </c>
      <c r="Q444" s="421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</row>
    <row r="445" spans="1:50" s="10" customFormat="1" ht="14">
      <c r="A445"/>
      <c r="B445"/>
      <c r="C445"/>
      <c r="D445" s="155"/>
      <c r="E445" s="203" t="s">
        <v>125</v>
      </c>
      <c r="F445" s="197"/>
      <c r="G445" s="197"/>
      <c r="H445" s="197"/>
      <c r="I445" s="197"/>
      <c r="J445" s="197"/>
      <c r="K445" s="197"/>
      <c r="L445" s="198"/>
      <c r="M445" s="199">
        <f>65</f>
        <v>65</v>
      </c>
      <c r="N445" s="200" t="s">
        <v>7</v>
      </c>
      <c r="O445" s="222">
        <v>450</v>
      </c>
      <c r="P445" s="214">
        <f t="shared" si="17"/>
        <v>29250</v>
      </c>
      <c r="Q445" s="421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</row>
    <row r="446" spans="1:50" s="10" customFormat="1" ht="14">
      <c r="A446"/>
      <c r="B446"/>
      <c r="C446"/>
      <c r="D446" s="155"/>
      <c r="E446" s="203" t="s">
        <v>383</v>
      </c>
      <c r="F446" s="197"/>
      <c r="G446" s="197"/>
      <c r="H446" s="197"/>
      <c r="I446" s="197"/>
      <c r="J446" s="197"/>
      <c r="K446" s="197"/>
      <c r="L446" s="198"/>
      <c r="M446" s="199">
        <v>25</v>
      </c>
      <c r="N446" s="200" t="s">
        <v>7</v>
      </c>
      <c r="O446" s="222">
        <v>300</v>
      </c>
      <c r="P446" s="214">
        <f t="shared" si="17"/>
        <v>7500</v>
      </c>
      <c r="Q446" s="421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</row>
    <row r="447" spans="1:50" s="10" customFormat="1" ht="14">
      <c r="A447"/>
      <c r="B447"/>
      <c r="C447"/>
      <c r="D447" s="155"/>
      <c r="E447" s="203" t="s">
        <v>626</v>
      </c>
      <c r="F447" s="197"/>
      <c r="G447" s="197"/>
      <c r="H447" s="197"/>
      <c r="I447" s="197"/>
      <c r="J447" s="197"/>
      <c r="K447" s="197"/>
      <c r="L447" s="198"/>
      <c r="M447" s="199">
        <v>1</v>
      </c>
      <c r="N447" s="200" t="s">
        <v>164</v>
      </c>
      <c r="O447" s="222">
        <v>15000</v>
      </c>
      <c r="P447" s="214">
        <f t="shared" si="17"/>
        <v>15000</v>
      </c>
      <c r="Q447" s="421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</row>
    <row r="448" spans="1:50" s="10" customFormat="1" ht="14">
      <c r="A448"/>
      <c r="B448"/>
      <c r="C448"/>
      <c r="D448" s="155"/>
      <c r="E448" s="203" t="s">
        <v>627</v>
      </c>
      <c r="F448" s="197"/>
      <c r="G448" s="197"/>
      <c r="H448" s="197"/>
      <c r="I448" s="197"/>
      <c r="J448" s="197"/>
      <c r="K448" s="197"/>
      <c r="L448" s="198"/>
      <c r="M448" s="199">
        <f>M445+M449</f>
        <v>103</v>
      </c>
      <c r="N448" s="200" t="s">
        <v>7</v>
      </c>
      <c r="O448" s="222">
        <v>300</v>
      </c>
      <c r="P448" s="214">
        <f t="shared" si="17"/>
        <v>30900</v>
      </c>
      <c r="Q448" s="421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</row>
    <row r="449" spans="1:50" s="10" customFormat="1" ht="14">
      <c r="A449"/>
      <c r="B449"/>
      <c r="C449"/>
      <c r="D449" s="155"/>
      <c r="E449" s="203" t="s">
        <v>720</v>
      </c>
      <c r="F449" s="197"/>
      <c r="G449" s="197"/>
      <c r="H449" s="197"/>
      <c r="I449" s="197"/>
      <c r="J449" s="197"/>
      <c r="K449" s="197"/>
      <c r="L449" s="198"/>
      <c r="M449" s="199">
        <v>38</v>
      </c>
      <c r="N449" s="200" t="s">
        <v>7</v>
      </c>
      <c r="O449" s="222">
        <v>450</v>
      </c>
      <c r="P449" s="214">
        <f t="shared" si="17"/>
        <v>17100</v>
      </c>
      <c r="Q449" s="421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</row>
    <row r="450" spans="1:50" s="10" customFormat="1" ht="14">
      <c r="A450"/>
      <c r="B450"/>
      <c r="C450"/>
      <c r="D450" s="155"/>
      <c r="E450" s="203" t="s">
        <v>788</v>
      </c>
      <c r="F450" s="197"/>
      <c r="G450" s="197"/>
      <c r="H450" s="197"/>
      <c r="I450" s="197"/>
      <c r="J450" s="197"/>
      <c r="K450" s="197"/>
      <c r="L450" s="198"/>
      <c r="M450" s="199">
        <v>1</v>
      </c>
      <c r="N450" s="200" t="s">
        <v>164</v>
      </c>
      <c r="O450" s="222">
        <v>12000</v>
      </c>
      <c r="P450" s="214">
        <f t="shared" si="17"/>
        <v>12000</v>
      </c>
      <c r="Q450" s="421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</row>
    <row r="451" spans="1:50" s="10" customFormat="1" ht="14">
      <c r="A451"/>
      <c r="B451"/>
      <c r="C451"/>
      <c r="D451" s="155"/>
      <c r="E451" s="203" t="s">
        <v>790</v>
      </c>
      <c r="F451" s="197"/>
      <c r="G451" s="197"/>
      <c r="H451" s="197"/>
      <c r="I451" s="197"/>
      <c r="J451" s="197"/>
      <c r="K451" s="197"/>
      <c r="L451" s="198"/>
      <c r="M451" s="199">
        <v>1</v>
      </c>
      <c r="N451" s="200" t="s">
        <v>164</v>
      </c>
      <c r="O451" s="222">
        <v>10000</v>
      </c>
      <c r="P451" s="214">
        <f t="shared" si="17"/>
        <v>10000</v>
      </c>
      <c r="Q451" s="42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</row>
    <row r="452" spans="1:50" s="10" customFormat="1" ht="14">
      <c r="A452"/>
      <c r="B452"/>
      <c r="C452"/>
      <c r="D452" s="155"/>
      <c r="E452" s="203" t="s">
        <v>755</v>
      </c>
      <c r="F452" s="197"/>
      <c r="G452" s="197"/>
      <c r="H452" s="197"/>
      <c r="I452" s="197"/>
      <c r="J452" s="197"/>
      <c r="K452" s="197"/>
      <c r="L452" s="198"/>
      <c r="M452" s="199">
        <v>18</v>
      </c>
      <c r="N452" s="200" t="s">
        <v>7</v>
      </c>
      <c r="O452" s="222">
        <v>450</v>
      </c>
      <c r="P452" s="214">
        <f t="shared" si="17"/>
        <v>8100</v>
      </c>
      <c r="Q452" s="421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</row>
    <row r="453" spans="1:50" s="10" customFormat="1" ht="14">
      <c r="A453"/>
      <c r="B453"/>
      <c r="C453"/>
      <c r="D453" s="155"/>
      <c r="E453" s="203" t="s">
        <v>756</v>
      </c>
      <c r="F453" s="197"/>
      <c r="G453" s="197"/>
      <c r="H453" s="197"/>
      <c r="I453" s="197"/>
      <c r="J453" s="197"/>
      <c r="K453" s="197"/>
      <c r="L453" s="198"/>
      <c r="M453" s="199">
        <v>1</v>
      </c>
      <c r="N453" s="200" t="s">
        <v>164</v>
      </c>
      <c r="O453" s="222">
        <v>15000</v>
      </c>
      <c r="P453" s="214">
        <f t="shared" si="17"/>
        <v>15000</v>
      </c>
      <c r="Q453" s="421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</row>
    <row r="454" spans="1:50" s="10" customFormat="1" ht="14">
      <c r="A454"/>
      <c r="B454"/>
      <c r="C454"/>
      <c r="D454" s="155"/>
      <c r="E454" s="203" t="s">
        <v>763</v>
      </c>
      <c r="F454" s="197"/>
      <c r="G454" s="197"/>
      <c r="H454" s="197"/>
      <c r="I454" s="197"/>
      <c r="J454" s="197"/>
      <c r="K454" s="197"/>
      <c r="L454" s="198"/>
      <c r="M454" s="199">
        <v>50</v>
      </c>
      <c r="N454" s="200" t="s">
        <v>7</v>
      </c>
      <c r="O454" s="222">
        <v>450</v>
      </c>
      <c r="P454" s="214">
        <f t="shared" si="17"/>
        <v>22500</v>
      </c>
      <c r="Q454" s="421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</row>
    <row r="455" spans="1:50" s="10" customFormat="1" ht="14">
      <c r="A455"/>
      <c r="B455"/>
      <c r="C455"/>
      <c r="D455" s="155"/>
      <c r="E455" s="203"/>
      <c r="F455" s="197"/>
      <c r="G455" s="197"/>
      <c r="H455" s="197"/>
      <c r="I455" s="197"/>
      <c r="J455" s="197"/>
      <c r="K455" s="197"/>
      <c r="L455" s="198"/>
      <c r="M455" s="199"/>
      <c r="N455" s="200"/>
      <c r="O455" s="222"/>
      <c r="P455" s="214">
        <f t="shared" si="17"/>
        <v>0</v>
      </c>
      <c r="Q455" s="421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</row>
    <row r="456" spans="1:50" s="10" customFormat="1" ht="14">
      <c r="A456"/>
      <c r="B456"/>
      <c r="C456"/>
      <c r="D456" s="155"/>
      <c r="E456" s="203" t="s">
        <v>629</v>
      </c>
      <c r="F456" s="197"/>
      <c r="G456" s="197"/>
      <c r="H456" s="197"/>
      <c r="I456" s="197"/>
      <c r="J456" s="197"/>
      <c r="K456" s="197"/>
      <c r="L456" s="198"/>
      <c r="M456" s="199">
        <v>1</v>
      </c>
      <c r="N456" s="200" t="s">
        <v>164</v>
      </c>
      <c r="O456" s="222">
        <v>75000</v>
      </c>
      <c r="P456" s="214">
        <f t="shared" si="17"/>
        <v>75000</v>
      </c>
      <c r="Q456" s="421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</row>
    <row r="457" spans="1:50" s="10" customFormat="1" ht="14">
      <c r="A457"/>
      <c r="B457"/>
      <c r="C457"/>
      <c r="D457" s="155"/>
      <c r="E457" s="203" t="s">
        <v>718</v>
      </c>
      <c r="F457" s="197"/>
      <c r="G457" s="197"/>
      <c r="H457" s="197"/>
      <c r="I457" s="197"/>
      <c r="J457" s="197"/>
      <c r="K457" s="197"/>
      <c r="L457" s="198"/>
      <c r="M457" s="199">
        <v>18</v>
      </c>
      <c r="N457" s="200" t="s">
        <v>7</v>
      </c>
      <c r="O457" s="222">
        <v>650</v>
      </c>
      <c r="P457" s="214">
        <f t="shared" si="17"/>
        <v>11700</v>
      </c>
      <c r="Q457" s="421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</row>
    <row r="458" spans="1:50" s="10" customFormat="1" ht="14">
      <c r="A458"/>
      <c r="B458"/>
      <c r="C458"/>
      <c r="D458" s="155"/>
      <c r="E458" s="203" t="s">
        <v>719</v>
      </c>
      <c r="F458" s="197"/>
      <c r="G458" s="197"/>
      <c r="H458" s="197"/>
      <c r="I458" s="197"/>
      <c r="J458" s="197"/>
      <c r="K458" s="197"/>
      <c r="L458" s="198"/>
      <c r="M458" s="199">
        <v>12</v>
      </c>
      <c r="N458" s="200" t="s">
        <v>7</v>
      </c>
      <c r="O458" s="246">
        <v>650</v>
      </c>
      <c r="P458" s="214">
        <f t="shared" si="17"/>
        <v>7800</v>
      </c>
      <c r="Q458" s="421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</row>
    <row r="459" spans="1:50" s="10" customFormat="1" ht="14">
      <c r="A459"/>
      <c r="B459"/>
      <c r="C459"/>
      <c r="D459" s="155"/>
      <c r="E459" s="179"/>
      <c r="F459" s="180"/>
      <c r="G459" s="180"/>
      <c r="H459" s="180"/>
      <c r="I459" s="180"/>
      <c r="J459" s="180"/>
      <c r="K459" s="180"/>
      <c r="L459" s="181"/>
      <c r="M459" s="182"/>
      <c r="N459" s="183"/>
      <c r="O459" s="184"/>
      <c r="P459" s="185"/>
      <c r="Q459" s="185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</row>
    <row r="460" spans="1:50" s="10" customFormat="1" ht="14">
      <c r="A460"/>
      <c r="B460"/>
      <c r="C460"/>
      <c r="D460" s="155"/>
      <c r="E460" s="202"/>
      <c r="F460" s="241"/>
      <c r="G460" s="241"/>
      <c r="H460" s="241"/>
      <c r="I460" s="241"/>
      <c r="J460" s="241"/>
      <c r="K460" s="241"/>
      <c r="L460" s="242"/>
      <c r="M460" s="243"/>
      <c r="N460" s="244"/>
      <c r="O460" s="245"/>
      <c r="P460" s="214">
        <f>SUM(P441:P459)</f>
        <v>261850</v>
      </c>
      <c r="Q460" s="421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</row>
    <row r="461" spans="1:50" s="10" customFormat="1" ht="14">
      <c r="A461"/>
      <c r="B461"/>
      <c r="C461"/>
      <c r="D461" s="155"/>
      <c r="E461" s="154"/>
      <c r="F461" s="154"/>
      <c r="G461" s="154"/>
      <c r="H461" s="154"/>
      <c r="I461" s="154"/>
      <c r="J461" s="154"/>
      <c r="K461" s="154"/>
      <c r="L461" s="154"/>
      <c r="M461" s="156"/>
      <c r="N461" s="157"/>
      <c r="O461" s="158"/>
      <c r="P461" s="159"/>
      <c r="Q461" s="160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</row>
    <row r="462" spans="1:50" s="10" customFormat="1" ht="14">
      <c r="A462"/>
      <c r="B462"/>
      <c r="C462"/>
      <c r="D462" s="155"/>
      <c r="E462" s="161" t="str">
        <f>RECAP!F31</f>
        <v>PLASTER</v>
      </c>
      <c r="F462" s="161"/>
      <c r="G462" s="161"/>
      <c r="H462" s="161"/>
      <c r="I462" s="161"/>
      <c r="J462" s="161"/>
      <c r="K462" s="161"/>
      <c r="L462" s="161"/>
      <c r="M462" s="164"/>
      <c r="N462" s="165"/>
      <c r="O462" s="166"/>
      <c r="P462" s="167"/>
      <c r="Q462" s="167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</row>
    <row r="463" spans="1:50" s="10" customFormat="1" ht="14">
      <c r="A463"/>
      <c r="B463"/>
      <c r="C463"/>
      <c r="D463" s="155"/>
      <c r="E463" s="154"/>
      <c r="F463" s="154"/>
      <c r="G463" s="154"/>
      <c r="H463" s="154"/>
      <c r="I463" s="154"/>
      <c r="J463" s="154"/>
      <c r="K463" s="154"/>
      <c r="L463" s="154"/>
      <c r="M463" s="156"/>
      <c r="N463" s="157"/>
      <c r="O463" s="158"/>
      <c r="P463" s="159"/>
      <c r="Q463" s="160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</row>
    <row r="464" spans="1:50" s="10" customFormat="1" ht="14">
      <c r="A464"/>
      <c r="B464"/>
      <c r="C464"/>
      <c r="D464" s="155"/>
      <c r="E464" s="171"/>
      <c r="F464" s="172"/>
      <c r="G464" s="172" t="s">
        <v>13</v>
      </c>
      <c r="H464" s="172"/>
      <c r="I464" s="172"/>
      <c r="J464" s="172"/>
      <c r="K464" s="172"/>
      <c r="L464" s="173"/>
      <c r="M464" s="174" t="s">
        <v>23</v>
      </c>
      <c r="N464" s="175" t="s">
        <v>151</v>
      </c>
      <c r="O464" s="176" t="s">
        <v>152</v>
      </c>
      <c r="P464" s="177" t="s">
        <v>153</v>
      </c>
      <c r="Q464" s="416" t="s">
        <v>17</v>
      </c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</row>
    <row r="465" spans="1:50" s="10" customFormat="1" ht="14">
      <c r="A465"/>
      <c r="B465"/>
      <c r="C465"/>
      <c r="D465" s="155"/>
      <c r="E465" s="179"/>
      <c r="F465" s="180"/>
      <c r="G465" s="180"/>
      <c r="H465" s="180"/>
      <c r="I465" s="180"/>
      <c r="J465" s="180"/>
      <c r="K465" s="180"/>
      <c r="L465" s="181"/>
      <c r="M465" s="182"/>
      <c r="N465" s="183"/>
      <c r="O465" s="184"/>
      <c r="P465" s="185"/>
      <c r="Q465" s="417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</row>
    <row r="466" spans="1:50" s="10" customFormat="1" ht="14.5" thickBot="1">
      <c r="A466"/>
      <c r="B466"/>
      <c r="C466"/>
      <c r="D466" s="155"/>
      <c r="E466" s="186" t="s">
        <v>154</v>
      </c>
      <c r="F466" s="187"/>
      <c r="G466" s="187"/>
      <c r="H466" s="187"/>
      <c r="I466" s="187"/>
      <c r="J466" s="187"/>
      <c r="K466" s="187"/>
      <c r="L466" s="188"/>
      <c r="M466" s="189"/>
      <c r="N466" s="190"/>
      <c r="O466" s="220"/>
      <c r="P466" s="221">
        <f>M466*O466</f>
        <v>0</v>
      </c>
      <c r="Q466" s="421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</row>
    <row r="467" spans="1:50" s="10" customFormat="1" ht="14.5" thickTop="1">
      <c r="A467"/>
      <c r="B467"/>
      <c r="C467"/>
      <c r="D467" s="155"/>
      <c r="E467" s="191"/>
      <c r="F467" s="192"/>
      <c r="G467" s="192"/>
      <c r="H467" s="192"/>
      <c r="I467" s="192"/>
      <c r="J467" s="192"/>
      <c r="K467" s="192"/>
      <c r="L467" s="193"/>
      <c r="M467" s="194"/>
      <c r="N467" s="195"/>
      <c r="O467" s="225"/>
      <c r="P467" s="226">
        <f>M467*O467</f>
        <v>0</v>
      </c>
      <c r="Q467" s="421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</row>
    <row r="468" spans="1:50" s="10" customFormat="1" ht="14">
      <c r="A468"/>
      <c r="B468"/>
      <c r="C468"/>
      <c r="D468" s="155"/>
      <c r="E468" s="254" t="s">
        <v>758</v>
      </c>
      <c r="F468" s="197"/>
      <c r="G468" s="197"/>
      <c r="H468" s="197"/>
      <c r="I468" s="197"/>
      <c r="J468" s="197"/>
      <c r="K468" s="197"/>
      <c r="L468" s="198"/>
      <c r="M468" s="199"/>
      <c r="N468" s="244"/>
      <c r="O468" s="222"/>
      <c r="P468" s="214">
        <f t="shared" ref="P468:P472" si="18">M468*O468</f>
        <v>0</v>
      </c>
      <c r="Q468" s="421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</row>
    <row r="469" spans="1:50" s="10" customFormat="1" ht="14">
      <c r="A469"/>
      <c r="B469"/>
      <c r="C469"/>
      <c r="D469" s="148"/>
      <c r="E469" s="203" t="s">
        <v>759</v>
      </c>
      <c r="F469" s="197"/>
      <c r="G469" s="197"/>
      <c r="H469" s="197"/>
      <c r="I469" s="197"/>
      <c r="J469" s="197"/>
      <c r="K469" s="197"/>
      <c r="L469" s="198"/>
      <c r="M469" s="199">
        <f>20*9+(9*33.5)+47</f>
        <v>528.5</v>
      </c>
      <c r="N469" s="200" t="s">
        <v>5</v>
      </c>
      <c r="O469" s="222">
        <v>20</v>
      </c>
      <c r="P469" s="214">
        <f t="shared" si="18"/>
        <v>10570</v>
      </c>
      <c r="Q469" s="421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</row>
    <row r="470" spans="1:50" s="10" customFormat="1" ht="14">
      <c r="A470"/>
      <c r="B470"/>
      <c r="C470"/>
      <c r="D470" s="155"/>
      <c r="E470" s="203" t="s">
        <v>817</v>
      </c>
      <c r="F470" s="197"/>
      <c r="G470" s="197"/>
      <c r="H470" s="197"/>
      <c r="I470" s="197"/>
      <c r="J470" s="197"/>
      <c r="K470" s="197"/>
      <c r="L470" s="198"/>
      <c r="M470" s="199">
        <f>M363+M364+M621-M485-M359-M360</f>
        <v>22243</v>
      </c>
      <c r="N470" s="200" t="s">
        <v>5</v>
      </c>
      <c r="O470" s="222">
        <v>16</v>
      </c>
      <c r="P470" s="214">
        <f t="shared" si="18"/>
        <v>355888</v>
      </c>
      <c r="Q470" s="421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</row>
    <row r="471" spans="1:50" s="10" customFormat="1" ht="14">
      <c r="A471"/>
      <c r="B471"/>
      <c r="C471"/>
      <c r="D471" s="155"/>
      <c r="E471" s="203"/>
      <c r="F471" s="197"/>
      <c r="G471" s="197"/>
      <c r="H471" s="197"/>
      <c r="I471" s="197"/>
      <c r="J471" s="197"/>
      <c r="K471" s="197"/>
      <c r="L471" s="198"/>
      <c r="M471" s="199"/>
      <c r="N471" s="200"/>
      <c r="O471" s="222"/>
      <c r="P471" s="214">
        <f t="shared" si="18"/>
        <v>0</v>
      </c>
      <c r="Q471" s="42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</row>
    <row r="472" spans="1:50" s="10" customFormat="1" ht="14">
      <c r="A472"/>
      <c r="B472"/>
      <c r="C472"/>
      <c r="D472" s="155"/>
      <c r="E472" s="196"/>
      <c r="F472" s="197"/>
      <c r="G472" s="197"/>
      <c r="H472" s="197"/>
      <c r="I472" s="197"/>
      <c r="J472" s="197"/>
      <c r="K472" s="197"/>
      <c r="L472" s="198"/>
      <c r="M472" s="199"/>
      <c r="N472" s="200"/>
      <c r="O472" s="246"/>
      <c r="P472" s="214">
        <f t="shared" si="18"/>
        <v>0</v>
      </c>
      <c r="Q472" s="421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</row>
    <row r="473" spans="1:50" s="10" customFormat="1" ht="14">
      <c r="A473"/>
      <c r="B473"/>
      <c r="C473"/>
      <c r="D473" s="155"/>
      <c r="E473" s="179"/>
      <c r="F473" s="180"/>
      <c r="G473" s="180"/>
      <c r="H473" s="180"/>
      <c r="I473" s="180"/>
      <c r="J473" s="180"/>
      <c r="K473" s="180"/>
      <c r="L473" s="181"/>
      <c r="M473" s="182"/>
      <c r="N473" s="183"/>
      <c r="O473" s="184"/>
      <c r="P473" s="185"/>
      <c r="Q473" s="185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</row>
    <row r="474" spans="1:50" s="10" customFormat="1" ht="14">
      <c r="A474"/>
      <c r="B474"/>
      <c r="C474"/>
      <c r="D474" s="155"/>
      <c r="E474" s="202"/>
      <c r="F474" s="241"/>
      <c r="G474" s="241"/>
      <c r="H474" s="241"/>
      <c r="I474" s="241"/>
      <c r="J474" s="241"/>
      <c r="K474" s="241"/>
      <c r="L474" s="242"/>
      <c r="M474" s="243"/>
      <c r="N474" s="244"/>
      <c r="O474" s="245"/>
      <c r="P474" s="214">
        <f>SUM(P465:P473)</f>
        <v>366458</v>
      </c>
      <c r="Q474" s="421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</row>
    <row r="475" spans="1:50" s="10" customFormat="1" ht="14">
      <c r="A475"/>
      <c r="B475"/>
      <c r="C475"/>
      <c r="D475" s="155"/>
      <c r="E475" s="154"/>
      <c r="F475" s="154"/>
      <c r="G475" s="154"/>
      <c r="H475" s="154"/>
      <c r="I475" s="154"/>
      <c r="J475" s="154"/>
      <c r="K475" s="154"/>
      <c r="L475" s="154"/>
      <c r="M475" s="156"/>
      <c r="N475" s="157"/>
      <c r="O475" s="158"/>
      <c r="P475" s="159"/>
      <c r="Q475" s="160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</row>
    <row r="476" spans="1:50" s="10" customFormat="1" ht="14">
      <c r="A476"/>
      <c r="B476"/>
      <c r="C476"/>
      <c r="D476" s="155"/>
      <c r="E476" s="162"/>
      <c r="F476" s="162"/>
      <c r="G476" s="162"/>
      <c r="H476" s="162"/>
      <c r="I476" s="162"/>
      <c r="J476" s="162"/>
      <c r="K476" s="162"/>
      <c r="L476" s="162"/>
      <c r="M476" s="164"/>
      <c r="N476" s="165"/>
      <c r="O476" s="166"/>
      <c r="P476" s="167"/>
      <c r="Q476" s="167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</row>
    <row r="477" spans="1:50" s="10" customFormat="1" ht="14">
      <c r="A477"/>
      <c r="B477"/>
      <c r="C477"/>
      <c r="D477" s="155"/>
      <c r="E477" s="161" t="str">
        <f>RECAP!F32</f>
        <v xml:space="preserve">METAL PANELS </v>
      </c>
      <c r="F477" s="161"/>
      <c r="G477" s="161"/>
      <c r="H477" s="161"/>
      <c r="I477" s="161"/>
      <c r="J477" s="161"/>
      <c r="K477" s="161"/>
      <c r="L477" s="161"/>
      <c r="M477" s="164"/>
      <c r="N477" s="165"/>
      <c r="O477" s="166"/>
      <c r="P477" s="167"/>
      <c r="Q477" s="16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</row>
    <row r="478" spans="1:50" s="10" customFormat="1" ht="14">
      <c r="A478"/>
      <c r="B478"/>
      <c r="C478"/>
      <c r="D478" s="155"/>
      <c r="E478" s="154"/>
      <c r="F478" s="154"/>
      <c r="G478" s="154"/>
      <c r="H478" s="154"/>
      <c r="I478" s="154"/>
      <c r="J478" s="154"/>
      <c r="K478" s="154"/>
      <c r="L478" s="154"/>
      <c r="M478" s="156"/>
      <c r="N478" s="157"/>
      <c r="O478" s="158"/>
      <c r="P478" s="159"/>
      <c r="Q478" s="160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</row>
    <row r="479" spans="1:50" s="10" customFormat="1" ht="14">
      <c r="A479"/>
      <c r="B479"/>
      <c r="C479"/>
      <c r="D479" s="155"/>
      <c r="E479" s="171"/>
      <c r="F479" s="172"/>
      <c r="G479" s="172" t="s">
        <v>13</v>
      </c>
      <c r="H479" s="172"/>
      <c r="I479" s="172"/>
      <c r="J479" s="172"/>
      <c r="K479" s="172"/>
      <c r="L479" s="173"/>
      <c r="M479" s="174" t="s">
        <v>23</v>
      </c>
      <c r="N479" s="175" t="s">
        <v>151</v>
      </c>
      <c r="O479" s="176" t="s">
        <v>152</v>
      </c>
      <c r="P479" s="177" t="s">
        <v>153</v>
      </c>
      <c r="Q479" s="416" t="s">
        <v>17</v>
      </c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</row>
    <row r="480" spans="1:50" s="10" customFormat="1" ht="14">
      <c r="A480"/>
      <c r="B480"/>
      <c r="C480"/>
      <c r="D480" s="155"/>
      <c r="E480" s="179"/>
      <c r="F480" s="180"/>
      <c r="G480" s="180"/>
      <c r="H480" s="180"/>
      <c r="I480" s="180"/>
      <c r="J480" s="180"/>
      <c r="K480" s="180"/>
      <c r="L480" s="181"/>
      <c r="M480" s="182"/>
      <c r="N480" s="183"/>
      <c r="O480" s="184"/>
      <c r="P480" s="185"/>
      <c r="Q480" s="417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</row>
    <row r="481" spans="1:50" s="10" customFormat="1" ht="14.5" thickBot="1">
      <c r="A481"/>
      <c r="B481"/>
      <c r="C481"/>
      <c r="D481" s="155"/>
      <c r="E481" s="186" t="s">
        <v>154</v>
      </c>
      <c r="F481" s="187"/>
      <c r="G481" s="187"/>
      <c r="H481" s="187"/>
      <c r="I481" s="187"/>
      <c r="J481" s="187"/>
      <c r="K481" s="187"/>
      <c r="L481" s="188"/>
      <c r="M481" s="189"/>
      <c r="N481" s="190"/>
      <c r="O481" s="220"/>
      <c r="P481" s="221">
        <f>M481*O481</f>
        <v>0</v>
      </c>
      <c r="Q481" s="42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</row>
    <row r="482" spans="1:50" s="10" customFormat="1" ht="14.5" thickTop="1">
      <c r="A482"/>
      <c r="B482"/>
      <c r="C482"/>
      <c r="D482" s="155"/>
      <c r="E482" s="191"/>
      <c r="F482" s="192"/>
      <c r="G482" s="192"/>
      <c r="H482" s="192"/>
      <c r="I482" s="192"/>
      <c r="J482" s="192"/>
      <c r="K482" s="192"/>
      <c r="L482" s="193"/>
      <c r="M482" s="194"/>
      <c r="N482" s="195"/>
      <c r="O482" s="225"/>
      <c r="P482" s="226">
        <f>M482*O482</f>
        <v>0</v>
      </c>
      <c r="Q482" s="421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</row>
    <row r="483" spans="1:50" s="10" customFormat="1" ht="14">
      <c r="A483"/>
      <c r="B483"/>
      <c r="C483"/>
      <c r="D483" s="155"/>
      <c r="E483" s="196"/>
      <c r="F483" s="197"/>
      <c r="G483" s="197"/>
      <c r="H483" s="197"/>
      <c r="I483" s="197"/>
      <c r="J483" s="197"/>
      <c r="K483" s="134"/>
      <c r="L483" s="198"/>
      <c r="M483" s="199"/>
      <c r="N483" s="200"/>
      <c r="O483" s="246"/>
      <c r="P483" s="214">
        <f>M483*O483</f>
        <v>0</v>
      </c>
      <c r="Q483" s="421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</row>
    <row r="484" spans="1:50" s="10" customFormat="1" ht="14">
      <c r="A484"/>
      <c r="B484"/>
      <c r="C484"/>
      <c r="D484" s="155"/>
      <c r="E484" s="254" t="s">
        <v>384</v>
      </c>
      <c r="F484" s="197"/>
      <c r="G484" s="197"/>
      <c r="H484" s="197"/>
      <c r="I484" s="197"/>
      <c r="J484" s="197"/>
      <c r="K484" s="197"/>
      <c r="L484" s="198"/>
      <c r="M484" s="199"/>
      <c r="N484" s="244"/>
      <c r="O484" s="222"/>
      <c r="P484" s="214">
        <f t="shared" ref="P484:P488" si="19">M484*O484</f>
        <v>0</v>
      </c>
      <c r="Q484" s="421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</row>
    <row r="485" spans="1:50" s="10" customFormat="1" ht="14">
      <c r="A485"/>
      <c r="B485"/>
      <c r="C485"/>
      <c r="D485" s="155"/>
      <c r="E485" s="207" t="s">
        <v>385</v>
      </c>
      <c r="F485" s="208"/>
      <c r="G485" s="208"/>
      <c r="H485" s="208"/>
      <c r="I485" s="208"/>
      <c r="J485" s="208"/>
      <c r="K485" s="208"/>
      <c r="L485" s="209"/>
      <c r="M485" s="199">
        <v>3240</v>
      </c>
      <c r="N485" s="210" t="s">
        <v>5</v>
      </c>
      <c r="O485" s="250">
        <v>45</v>
      </c>
      <c r="P485" s="214">
        <f t="shared" si="19"/>
        <v>145800</v>
      </c>
      <c r="Q485" s="421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</row>
    <row r="486" spans="1:50" s="10" customFormat="1" ht="14">
      <c r="A486"/>
      <c r="B486"/>
      <c r="C486"/>
      <c r="D486" s="155"/>
      <c r="E486" s="203"/>
      <c r="F486" s="197"/>
      <c r="G486" s="197"/>
      <c r="H486" s="197"/>
      <c r="I486" s="197"/>
      <c r="J486" s="197"/>
      <c r="K486" s="197"/>
      <c r="L486" s="198"/>
      <c r="M486" s="199"/>
      <c r="N486" s="200"/>
      <c r="O486" s="222"/>
      <c r="P486" s="214">
        <f t="shared" si="19"/>
        <v>0</v>
      </c>
      <c r="Q486" s="421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</row>
    <row r="487" spans="1:50" s="10" customFormat="1" ht="14">
      <c r="A487"/>
      <c r="B487"/>
      <c r="C487"/>
      <c r="D487" s="155"/>
      <c r="E487" s="203"/>
      <c r="F487" s="197"/>
      <c r="G487" s="197"/>
      <c r="H487" s="197"/>
      <c r="I487" s="197"/>
      <c r="J487" s="197"/>
      <c r="K487" s="197"/>
      <c r="L487" s="198"/>
      <c r="M487" s="199"/>
      <c r="N487" s="200"/>
      <c r="O487" s="246"/>
      <c r="P487" s="214">
        <f t="shared" si="19"/>
        <v>0</v>
      </c>
      <c r="Q487" s="421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</row>
    <row r="488" spans="1:50" s="10" customFormat="1" ht="14">
      <c r="A488"/>
      <c r="B488"/>
      <c r="C488"/>
      <c r="D488" s="155"/>
      <c r="E488" s="203"/>
      <c r="F488" s="197"/>
      <c r="G488" s="197"/>
      <c r="H488" s="197"/>
      <c r="I488" s="197"/>
      <c r="J488" s="197"/>
      <c r="K488" s="197"/>
      <c r="L488" s="198"/>
      <c r="M488" s="199"/>
      <c r="N488" s="200"/>
      <c r="O488" s="246"/>
      <c r="P488" s="214">
        <f t="shared" si="19"/>
        <v>0</v>
      </c>
      <c r="Q488" s="421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</row>
    <row r="489" spans="1:50" s="10" customFormat="1" ht="14">
      <c r="A489"/>
      <c r="B489"/>
      <c r="C489"/>
      <c r="D489" s="155"/>
      <c r="E489" s="179"/>
      <c r="F489" s="180"/>
      <c r="G489" s="180"/>
      <c r="H489" s="180"/>
      <c r="I489" s="180"/>
      <c r="J489" s="180"/>
      <c r="K489" s="180"/>
      <c r="L489" s="181"/>
      <c r="M489" s="182"/>
      <c r="N489" s="183"/>
      <c r="O489" s="184"/>
      <c r="P489" s="185"/>
      <c r="Q489" s="185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</row>
    <row r="490" spans="1:50" s="10" customFormat="1" ht="14">
      <c r="A490"/>
      <c r="B490"/>
      <c r="C490"/>
      <c r="D490" s="155"/>
      <c r="E490" s="202"/>
      <c r="F490" s="241"/>
      <c r="G490" s="241"/>
      <c r="H490" s="241"/>
      <c r="I490" s="241"/>
      <c r="J490" s="241"/>
      <c r="K490" s="241"/>
      <c r="L490" s="242"/>
      <c r="M490" s="243"/>
      <c r="N490" s="244"/>
      <c r="O490" s="245"/>
      <c r="P490" s="214">
        <f>SUM(P480:P489)</f>
        <v>145800</v>
      </c>
      <c r="Q490" s="421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</row>
    <row r="491" spans="1:50" s="10" customFormat="1" ht="14">
      <c r="A491"/>
      <c r="B491"/>
      <c r="C491"/>
      <c r="D491" s="155"/>
      <c r="E491" s="154"/>
      <c r="F491" s="154"/>
      <c r="G491" s="154"/>
      <c r="H491" s="154"/>
      <c r="I491" s="154"/>
      <c r="J491" s="154"/>
      <c r="K491" s="154"/>
      <c r="L491" s="154"/>
      <c r="M491" s="156"/>
      <c r="N491" s="157"/>
      <c r="O491" s="158"/>
      <c r="P491" s="159"/>
      <c r="Q491" s="160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</row>
    <row r="492" spans="1:50" s="10" customFormat="1" ht="14">
      <c r="A492"/>
      <c r="B492"/>
      <c r="C492"/>
      <c r="D492" s="155"/>
      <c r="E492" s="168"/>
      <c r="F492" s="169"/>
      <c r="G492" s="169"/>
      <c r="H492" s="169"/>
      <c r="I492" s="169"/>
      <c r="J492" s="169"/>
      <c r="K492" s="169"/>
      <c r="L492" s="163"/>
      <c r="M492" s="164"/>
      <c r="N492" s="165"/>
      <c r="O492" s="166"/>
      <c r="P492" s="167"/>
      <c r="Q492" s="167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</row>
    <row r="493" spans="1:50" s="10" customFormat="1" ht="14">
      <c r="A493"/>
      <c r="B493"/>
      <c r="C493"/>
      <c r="D493" s="155"/>
      <c r="E493" s="168" t="str">
        <f>RECAP!F33</f>
        <v xml:space="preserve">ROOFING </v>
      </c>
      <c r="F493" s="168"/>
      <c r="G493" s="168"/>
      <c r="H493" s="168"/>
      <c r="I493" s="168"/>
      <c r="J493" s="168"/>
      <c r="K493" s="168"/>
      <c r="L493" s="163"/>
      <c r="M493" s="164"/>
      <c r="N493" s="165"/>
      <c r="O493" s="166"/>
      <c r="P493" s="167"/>
      <c r="Q493" s="167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</row>
    <row r="494" spans="1:50" s="10" customFormat="1" ht="14">
      <c r="A494"/>
      <c r="B494"/>
      <c r="C494"/>
      <c r="D494" s="155"/>
      <c r="E494" s="154"/>
      <c r="F494" s="154"/>
      <c r="G494" s="154"/>
      <c r="H494" s="154"/>
      <c r="I494" s="154"/>
      <c r="J494" s="154"/>
      <c r="K494" s="154"/>
      <c r="L494" s="154"/>
      <c r="M494" s="156"/>
      <c r="N494" s="157"/>
      <c r="O494" s="158"/>
      <c r="P494" s="159"/>
      <c r="Q494" s="160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</row>
    <row r="495" spans="1:50" s="10" customFormat="1" ht="14">
      <c r="A495"/>
      <c r="B495"/>
      <c r="C495"/>
      <c r="D495" s="155"/>
      <c r="E495" s="171"/>
      <c r="F495" s="172"/>
      <c r="G495" s="172" t="s">
        <v>13</v>
      </c>
      <c r="H495" s="172"/>
      <c r="I495" s="172"/>
      <c r="J495" s="172"/>
      <c r="K495" s="172"/>
      <c r="L495" s="173"/>
      <c r="M495" s="174" t="s">
        <v>23</v>
      </c>
      <c r="N495" s="175" t="s">
        <v>151</v>
      </c>
      <c r="O495" s="176" t="s">
        <v>152</v>
      </c>
      <c r="P495" s="177" t="s">
        <v>153</v>
      </c>
      <c r="Q495" s="416" t="s">
        <v>17</v>
      </c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</row>
    <row r="496" spans="1:50" s="10" customFormat="1" ht="14">
      <c r="A496"/>
      <c r="B496"/>
      <c r="C496"/>
      <c r="D496" s="155"/>
      <c r="E496" s="179"/>
      <c r="F496" s="180"/>
      <c r="G496" s="180"/>
      <c r="H496" s="180"/>
      <c r="I496" s="180"/>
      <c r="J496" s="180"/>
      <c r="K496" s="180"/>
      <c r="L496" s="181"/>
      <c r="M496" s="182"/>
      <c r="N496" s="183"/>
      <c r="O496" s="184"/>
      <c r="P496" s="185"/>
      <c r="Q496" s="417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</row>
    <row r="497" spans="1:50" s="10" customFormat="1" ht="14.5" thickBot="1">
      <c r="A497"/>
      <c r="B497"/>
      <c r="C497"/>
      <c r="D497" s="155"/>
      <c r="E497" s="186" t="s">
        <v>154</v>
      </c>
      <c r="F497" s="187"/>
      <c r="G497" s="187"/>
      <c r="H497" s="187"/>
      <c r="I497" s="187"/>
      <c r="J497" s="187"/>
      <c r="K497" s="187"/>
      <c r="L497" s="188"/>
      <c r="M497" s="189"/>
      <c r="N497" s="190"/>
      <c r="O497" s="220"/>
      <c r="P497" s="221">
        <f>M497*O497</f>
        <v>0</v>
      </c>
      <c r="Q497" s="421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</row>
    <row r="498" spans="1:50" s="10" customFormat="1" ht="14.5" thickTop="1">
      <c r="A498"/>
      <c r="B498"/>
      <c r="C498"/>
      <c r="D498" s="155"/>
      <c r="E498" s="191"/>
      <c r="F498" s="192"/>
      <c r="G498" s="192"/>
      <c r="H498" s="192"/>
      <c r="I498" s="192"/>
      <c r="J498" s="192"/>
      <c r="K498" s="192"/>
      <c r="L498" s="193"/>
      <c r="M498" s="194"/>
      <c r="N498" s="195"/>
      <c r="O498" s="225"/>
      <c r="P498" s="226">
        <f>M498*O498</f>
        <v>0</v>
      </c>
      <c r="Q498" s="421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</row>
    <row r="499" spans="1:50" s="10" customFormat="1" ht="14">
      <c r="A499"/>
      <c r="B499"/>
      <c r="C499"/>
      <c r="D499" s="155"/>
      <c r="E499" s="196"/>
      <c r="F499" s="197"/>
      <c r="G499" s="197"/>
      <c r="H499" s="197"/>
      <c r="I499" s="197"/>
      <c r="J499" s="197"/>
      <c r="K499" s="197"/>
      <c r="L499" s="198"/>
      <c r="M499" s="199"/>
      <c r="N499" s="200"/>
      <c r="O499" s="246"/>
      <c r="P499" s="214">
        <f>M499*O499</f>
        <v>0</v>
      </c>
      <c r="Q499" s="421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</row>
    <row r="500" spans="1:50" s="10" customFormat="1" ht="14">
      <c r="A500"/>
      <c r="B500"/>
      <c r="C500"/>
      <c r="D500" s="155"/>
      <c r="E500" s="196" t="s">
        <v>126</v>
      </c>
      <c r="F500" s="197"/>
      <c r="G500" s="197"/>
      <c r="H500" s="197"/>
      <c r="I500" s="197"/>
      <c r="J500" s="197"/>
      <c r="K500" s="197"/>
      <c r="L500" s="198"/>
      <c r="M500" s="199"/>
      <c r="N500" s="200"/>
      <c r="O500" s="222"/>
      <c r="P500" s="214">
        <f>M500*O500</f>
        <v>0</v>
      </c>
      <c r="Q500" s="421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</row>
    <row r="501" spans="1:50" s="10" customFormat="1" ht="14">
      <c r="A501"/>
      <c r="B501"/>
      <c r="C501"/>
      <c r="D501" s="155"/>
      <c r="E501" s="203" t="s">
        <v>639</v>
      </c>
      <c r="F501" s="197"/>
      <c r="G501" s="197"/>
      <c r="H501" s="197"/>
      <c r="I501" s="197"/>
      <c r="J501" s="197"/>
      <c r="K501" s="197"/>
      <c r="L501" s="198"/>
      <c r="M501" s="199"/>
      <c r="N501" s="200"/>
      <c r="O501" s="222"/>
      <c r="P501" s="214">
        <f>M501*O501</f>
        <v>0</v>
      </c>
      <c r="Q501" s="42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</row>
    <row r="502" spans="1:50" s="10" customFormat="1" ht="14">
      <c r="A502"/>
      <c r="B502"/>
      <c r="C502"/>
      <c r="D502" s="155"/>
      <c r="E502" s="218" t="s">
        <v>386</v>
      </c>
      <c r="F502" s="197"/>
      <c r="G502" s="197"/>
      <c r="H502" s="197"/>
      <c r="I502" s="197"/>
      <c r="J502" s="197"/>
      <c r="K502" s="197"/>
      <c r="L502" s="198"/>
      <c r="M502" s="199">
        <v>49142</v>
      </c>
      <c r="N502" s="200" t="s">
        <v>5</v>
      </c>
      <c r="O502" s="222">
        <v>14.75</v>
      </c>
      <c r="P502" s="214">
        <f t="shared" ref="P502:P505" si="20">M502*O502</f>
        <v>724844.5</v>
      </c>
      <c r="Q502" s="421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</row>
    <row r="503" spans="1:50" s="10" customFormat="1" ht="14">
      <c r="A503"/>
      <c r="B503"/>
      <c r="C503"/>
      <c r="D503" s="155"/>
      <c r="E503" s="218" t="s">
        <v>387</v>
      </c>
      <c r="F503" s="197"/>
      <c r="G503" s="197" t="s">
        <v>645</v>
      </c>
      <c r="H503" s="197"/>
      <c r="I503" s="197"/>
      <c r="J503" s="197"/>
      <c r="K503" s="197"/>
      <c r="L503" s="198"/>
      <c r="M503" s="199"/>
      <c r="N503" s="200"/>
      <c r="O503" s="222"/>
      <c r="P503" s="214">
        <f t="shared" si="20"/>
        <v>0</v>
      </c>
      <c r="Q503" s="421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</row>
    <row r="504" spans="1:50" s="10" customFormat="1" ht="14">
      <c r="A504"/>
      <c r="B504"/>
      <c r="C504"/>
      <c r="D504" s="155"/>
      <c r="E504" s="203" t="s">
        <v>388</v>
      </c>
      <c r="F504" s="197"/>
      <c r="G504" s="197"/>
      <c r="H504" s="197"/>
      <c r="I504" s="197"/>
      <c r="J504" s="197"/>
      <c r="K504" s="197"/>
      <c r="L504" s="198"/>
      <c r="M504" s="199">
        <v>1500</v>
      </c>
      <c r="N504" s="200" t="s">
        <v>7</v>
      </c>
      <c r="O504" s="222">
        <v>8</v>
      </c>
      <c r="P504" s="214">
        <f t="shared" si="20"/>
        <v>12000</v>
      </c>
      <c r="Q504" s="421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</row>
    <row r="505" spans="1:50" s="10" customFormat="1" ht="14">
      <c r="A505"/>
      <c r="B505"/>
      <c r="C505"/>
      <c r="D505" s="155"/>
      <c r="E505" s="203" t="s">
        <v>622</v>
      </c>
      <c r="F505" s="197"/>
      <c r="G505" s="197"/>
      <c r="H505" s="197"/>
      <c r="I505" s="197"/>
      <c r="J505" s="197"/>
      <c r="K505" s="197"/>
      <c r="L505" s="198"/>
      <c r="M505" s="199">
        <v>1500</v>
      </c>
      <c r="N505" s="200" t="s">
        <v>7</v>
      </c>
      <c r="O505" s="222">
        <v>25</v>
      </c>
      <c r="P505" s="214">
        <f t="shared" si="20"/>
        <v>37500</v>
      </c>
      <c r="Q505" s="421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</row>
    <row r="506" spans="1:50" s="10" customFormat="1" ht="14">
      <c r="A506"/>
      <c r="B506"/>
      <c r="C506"/>
      <c r="D506" s="155"/>
      <c r="E506" s="218" t="s">
        <v>389</v>
      </c>
      <c r="F506" s="197"/>
      <c r="G506" s="197"/>
      <c r="H506" s="197"/>
      <c r="I506" s="197"/>
      <c r="J506" s="197"/>
      <c r="K506" s="197"/>
      <c r="L506" s="198"/>
      <c r="M506" s="199"/>
      <c r="N506" s="200" t="s">
        <v>390</v>
      </c>
      <c r="O506" s="222"/>
      <c r="P506" s="214">
        <f>M506*O506</f>
        <v>0</v>
      </c>
      <c r="Q506" s="421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</row>
    <row r="507" spans="1:50" s="10" customFormat="1" ht="14">
      <c r="A507"/>
      <c r="B507"/>
      <c r="C507"/>
      <c r="D507" s="155"/>
      <c r="E507" s="203" t="s">
        <v>391</v>
      </c>
      <c r="F507" s="197"/>
      <c r="G507" s="197"/>
      <c r="H507" s="197"/>
      <c r="I507" s="197"/>
      <c r="J507" s="197"/>
      <c r="K507" s="197"/>
      <c r="L507" s="198"/>
      <c r="M507" s="199">
        <f>14*28</f>
        <v>392</v>
      </c>
      <c r="N507" s="200" t="s">
        <v>7</v>
      </c>
      <c r="O507" s="222">
        <v>25</v>
      </c>
      <c r="P507" s="214">
        <f>M507*O507</f>
        <v>9800</v>
      </c>
      <c r="Q507" s="421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</row>
    <row r="508" spans="1:50" s="10" customFormat="1" ht="14">
      <c r="A508"/>
      <c r="B508"/>
      <c r="C508"/>
      <c r="D508" s="155"/>
      <c r="E508" s="203" t="s">
        <v>392</v>
      </c>
      <c r="F508" s="197"/>
      <c r="G508" s="197"/>
      <c r="H508" s="197"/>
      <c r="I508" s="197"/>
      <c r="J508" s="197"/>
      <c r="K508" s="197"/>
      <c r="L508" s="198"/>
      <c r="M508" s="199">
        <v>350</v>
      </c>
      <c r="N508" s="200" t="s">
        <v>7</v>
      </c>
      <c r="O508" s="222">
        <v>30</v>
      </c>
      <c r="P508" s="214">
        <f t="shared" ref="P508:P514" si="21">M508*O508</f>
        <v>10500</v>
      </c>
      <c r="Q508" s="421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</row>
    <row r="509" spans="1:50" s="10" customFormat="1" ht="14">
      <c r="A509"/>
      <c r="B509"/>
      <c r="C509"/>
      <c r="D509" s="155"/>
      <c r="E509" s="203" t="s">
        <v>811</v>
      </c>
      <c r="F509" s="197"/>
      <c r="G509" s="197"/>
      <c r="H509" s="197"/>
      <c r="I509" s="197"/>
      <c r="J509" s="197"/>
      <c r="K509" s="197"/>
      <c r="L509" s="198"/>
      <c r="M509" s="199">
        <v>14</v>
      </c>
      <c r="N509" s="200" t="s">
        <v>162</v>
      </c>
      <c r="O509" s="222">
        <v>1500</v>
      </c>
      <c r="P509" s="214">
        <f>M509*O509</f>
        <v>21000</v>
      </c>
      <c r="Q509" s="421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</row>
    <row r="510" spans="1:50" s="10" customFormat="1" ht="14">
      <c r="A510"/>
      <c r="B510"/>
      <c r="C510"/>
      <c r="D510" s="155"/>
      <c r="E510" s="203" t="s">
        <v>393</v>
      </c>
      <c r="F510" s="197"/>
      <c r="G510" s="197"/>
      <c r="H510" s="197"/>
      <c r="I510" s="197"/>
      <c r="J510" s="197"/>
      <c r="K510" s="197"/>
      <c r="L510" s="198"/>
      <c r="M510" s="199">
        <f>60*35</f>
        <v>2100</v>
      </c>
      <c r="N510" s="200" t="s">
        <v>5</v>
      </c>
      <c r="O510" s="222">
        <v>30</v>
      </c>
      <c r="P510" s="214">
        <f t="shared" si="21"/>
        <v>63000</v>
      </c>
      <c r="Q510" s="421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</row>
    <row r="511" spans="1:50" s="10" customFormat="1" ht="14">
      <c r="A511"/>
      <c r="B511"/>
      <c r="C511"/>
      <c r="D511" s="155"/>
      <c r="E511" s="203" t="s">
        <v>394</v>
      </c>
      <c r="F511" s="197"/>
      <c r="G511" s="197"/>
      <c r="H511" s="197"/>
      <c r="I511" s="197"/>
      <c r="J511" s="197"/>
      <c r="K511" s="197"/>
      <c r="L511" s="198"/>
      <c r="M511" s="199">
        <f>190*4</f>
        <v>760</v>
      </c>
      <c r="N511" s="200" t="s">
        <v>5</v>
      </c>
      <c r="O511" s="222">
        <v>22</v>
      </c>
      <c r="P511" s="214">
        <f t="shared" si="21"/>
        <v>16720</v>
      </c>
      <c r="Q511" s="42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</row>
    <row r="512" spans="1:50" s="10" customFormat="1" ht="14">
      <c r="A512"/>
      <c r="B512"/>
      <c r="C512"/>
      <c r="D512" s="155"/>
      <c r="E512" s="203" t="s">
        <v>395</v>
      </c>
      <c r="F512" s="197"/>
      <c r="G512" s="197"/>
      <c r="H512" s="197"/>
      <c r="I512" s="197"/>
      <c r="J512" s="197"/>
      <c r="K512" s="197"/>
      <c r="L512" s="198"/>
      <c r="M512" s="199">
        <v>1</v>
      </c>
      <c r="N512" s="200" t="s">
        <v>162</v>
      </c>
      <c r="O512" s="222">
        <v>5000</v>
      </c>
      <c r="P512" s="214">
        <f t="shared" si="21"/>
        <v>5000</v>
      </c>
      <c r="Q512" s="421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</row>
    <row r="513" spans="1:50" s="10" customFormat="1" ht="14">
      <c r="A513"/>
      <c r="B513"/>
      <c r="C513"/>
      <c r="D513" s="155"/>
      <c r="E513" s="203"/>
      <c r="F513" s="197"/>
      <c r="G513" s="197"/>
      <c r="H513" s="197"/>
      <c r="I513" s="197"/>
      <c r="J513" s="197"/>
      <c r="K513" s="197"/>
      <c r="L513" s="198"/>
      <c r="M513" s="199"/>
      <c r="N513" s="200"/>
      <c r="O513" s="222"/>
      <c r="P513" s="214">
        <f t="shared" si="21"/>
        <v>0</v>
      </c>
      <c r="Q513" s="421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</row>
    <row r="514" spans="1:50" s="10" customFormat="1" ht="14">
      <c r="A514"/>
      <c r="B514"/>
      <c r="C514"/>
      <c r="D514" s="155"/>
      <c r="E514" s="196"/>
      <c r="F514" s="197"/>
      <c r="G514" s="197"/>
      <c r="H514" s="197"/>
      <c r="I514" s="197"/>
      <c r="J514" s="197"/>
      <c r="K514" s="197"/>
      <c r="L514" s="198"/>
      <c r="M514" s="199"/>
      <c r="N514" s="200"/>
      <c r="O514" s="246"/>
      <c r="P514" s="214">
        <f t="shared" si="21"/>
        <v>0</v>
      </c>
      <c r="Q514" s="421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</row>
    <row r="515" spans="1:50" s="10" customFormat="1" ht="14">
      <c r="A515"/>
      <c r="B515"/>
      <c r="C515"/>
      <c r="D515" s="155"/>
      <c r="E515" s="179"/>
      <c r="F515" s="180"/>
      <c r="G515" s="180"/>
      <c r="H515" s="180"/>
      <c r="I515" s="180"/>
      <c r="J515" s="180"/>
      <c r="K515" s="180"/>
      <c r="L515" s="181"/>
      <c r="M515" s="182"/>
      <c r="N515" s="183"/>
      <c r="O515" s="184"/>
      <c r="P515" s="185"/>
      <c r="Q515" s="18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</row>
    <row r="516" spans="1:50" s="10" customFormat="1" ht="14">
      <c r="A516"/>
      <c r="B516"/>
      <c r="C516"/>
      <c r="D516" s="155"/>
      <c r="E516" s="202"/>
      <c r="F516" s="241"/>
      <c r="G516" s="241"/>
      <c r="H516" s="241"/>
      <c r="I516" s="241"/>
      <c r="J516" s="241"/>
      <c r="K516" s="241"/>
      <c r="L516" s="242"/>
      <c r="M516" s="243"/>
      <c r="N516" s="244"/>
      <c r="O516" s="245"/>
      <c r="P516" s="214">
        <f>SUM(P496:P515)</f>
        <v>900364.5</v>
      </c>
      <c r="Q516" s="421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</row>
    <row r="517" spans="1:50" s="10" customFormat="1" ht="14">
      <c r="A517"/>
      <c r="B517"/>
      <c r="C517"/>
      <c r="D517" s="155"/>
      <c r="E517" s="154"/>
      <c r="F517" s="154"/>
      <c r="G517" s="154"/>
      <c r="H517" s="154"/>
      <c r="I517" s="154"/>
      <c r="J517" s="154"/>
      <c r="K517" s="154"/>
      <c r="L517" s="154"/>
      <c r="M517" s="156"/>
      <c r="N517" s="157"/>
      <c r="O517" s="158"/>
      <c r="P517" s="159"/>
      <c r="Q517" s="160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</row>
    <row r="518" spans="1:50" s="10" customFormat="1" ht="14">
      <c r="A518"/>
      <c r="B518"/>
      <c r="C518"/>
      <c r="D518" s="155"/>
      <c r="E518" s="168"/>
      <c r="F518" s="169"/>
      <c r="G518" s="169"/>
      <c r="H518" s="169"/>
      <c r="I518" s="169"/>
      <c r="J518" s="169"/>
      <c r="K518" s="169"/>
      <c r="L518" s="163"/>
      <c r="M518" s="164"/>
      <c r="N518" s="165"/>
      <c r="O518" s="166"/>
      <c r="P518" s="167"/>
      <c r="Q518" s="167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</row>
    <row r="519" spans="1:50" s="10" customFormat="1" ht="14">
      <c r="A519"/>
      <c r="B519"/>
      <c r="C519"/>
      <c r="D519" s="170"/>
      <c r="E519" s="168" t="str">
        <f>RECAP!F34</f>
        <v xml:space="preserve">WATERPROOFING / CAULKING &amp; SEALANTS </v>
      </c>
      <c r="F519" s="168"/>
      <c r="G519" s="168"/>
      <c r="H519" s="168"/>
      <c r="I519" s="168"/>
      <c r="J519" s="168"/>
      <c r="K519" s="168"/>
      <c r="L519" s="163"/>
      <c r="M519" s="164"/>
      <c r="N519" s="165"/>
      <c r="O519" s="166"/>
      <c r="P519" s="167"/>
      <c r="Q519" s="167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</row>
    <row r="520" spans="1:50" s="10" customFormat="1" ht="14">
      <c r="A520"/>
      <c r="B520"/>
      <c r="C520"/>
      <c r="D520" s="155"/>
      <c r="E520" s="154"/>
      <c r="F520" s="154"/>
      <c r="G520" s="154"/>
      <c r="H520" s="154"/>
      <c r="I520" s="154"/>
      <c r="J520" s="154"/>
      <c r="K520" s="154"/>
      <c r="L520" s="154"/>
      <c r="M520" s="156"/>
      <c r="N520" s="157"/>
      <c r="O520" s="158"/>
      <c r="P520" s="159"/>
      <c r="Q520" s="16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</row>
    <row r="521" spans="1:50" s="10" customFormat="1" ht="14">
      <c r="A521"/>
      <c r="B521"/>
      <c r="C521"/>
      <c r="D521" s="155"/>
      <c r="E521" s="171"/>
      <c r="F521" s="172"/>
      <c r="G521" s="172" t="s">
        <v>13</v>
      </c>
      <c r="H521" s="172"/>
      <c r="I521" s="172"/>
      <c r="J521" s="172"/>
      <c r="K521" s="172"/>
      <c r="L521" s="173"/>
      <c r="M521" s="174" t="s">
        <v>23</v>
      </c>
      <c r="N521" s="175" t="s">
        <v>151</v>
      </c>
      <c r="O521" s="176" t="s">
        <v>152</v>
      </c>
      <c r="P521" s="177" t="s">
        <v>153</v>
      </c>
      <c r="Q521" s="416" t="s">
        <v>17</v>
      </c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</row>
    <row r="522" spans="1:50" s="10" customFormat="1" ht="14">
      <c r="A522"/>
      <c r="B522"/>
      <c r="C522"/>
      <c r="D522" s="155"/>
      <c r="E522" s="179"/>
      <c r="F522" s="180"/>
      <c r="G522" s="180"/>
      <c r="H522" s="180"/>
      <c r="I522" s="180"/>
      <c r="J522" s="180"/>
      <c r="K522" s="180"/>
      <c r="L522" s="181"/>
      <c r="M522" s="182"/>
      <c r="N522" s="183"/>
      <c r="O522" s="184"/>
      <c r="P522" s="185"/>
      <c r="Q522" s="417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</row>
    <row r="523" spans="1:50" s="10" customFormat="1" ht="14.5" thickBot="1">
      <c r="A523"/>
      <c r="B523"/>
      <c r="C523"/>
      <c r="D523" s="155"/>
      <c r="E523" s="186" t="s">
        <v>154</v>
      </c>
      <c r="F523" s="187"/>
      <c r="G523" s="187"/>
      <c r="H523" s="187"/>
      <c r="I523" s="187"/>
      <c r="J523" s="187"/>
      <c r="K523" s="187"/>
      <c r="L523" s="188"/>
      <c r="M523" s="189"/>
      <c r="N523" s="190"/>
      <c r="O523" s="220"/>
      <c r="P523" s="221">
        <f>M523*O523</f>
        <v>0</v>
      </c>
      <c r="Q523" s="421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</row>
    <row r="524" spans="1:50" s="10" customFormat="1" ht="14.5" thickTop="1">
      <c r="A524"/>
      <c r="B524"/>
      <c r="C524"/>
      <c r="D524" s="155"/>
      <c r="E524" s="191"/>
      <c r="F524" s="192"/>
      <c r="G524" s="192"/>
      <c r="H524" s="192"/>
      <c r="I524" s="192"/>
      <c r="J524" s="192"/>
      <c r="K524" s="192"/>
      <c r="L524" s="193"/>
      <c r="M524" s="194"/>
      <c r="N524" s="195"/>
      <c r="O524" s="225"/>
      <c r="P524" s="226">
        <f>M524*O524</f>
        <v>0</v>
      </c>
      <c r="Q524" s="421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</row>
    <row r="525" spans="1:50" s="10" customFormat="1" ht="14">
      <c r="A525"/>
      <c r="B525"/>
      <c r="C525"/>
      <c r="D525" s="155"/>
      <c r="E525" s="203"/>
      <c r="F525" s="197"/>
      <c r="G525" s="197"/>
      <c r="H525" s="197"/>
      <c r="I525" s="197"/>
      <c r="J525" s="197"/>
      <c r="K525" s="197"/>
      <c r="L525" s="198"/>
      <c r="M525" s="199"/>
      <c r="N525" s="200"/>
      <c r="O525" s="222"/>
      <c r="P525" s="214">
        <f t="shared" ref="P525:P539" si="22">M525*O525</f>
        <v>0</v>
      </c>
      <c r="Q525" s="421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</row>
    <row r="526" spans="1:50" s="10" customFormat="1" ht="14">
      <c r="A526"/>
      <c r="B526"/>
      <c r="C526"/>
      <c r="D526" s="155"/>
      <c r="E526" s="272" t="s">
        <v>396</v>
      </c>
      <c r="F526" s="197"/>
      <c r="G526" s="197"/>
      <c r="H526" s="197"/>
      <c r="I526" s="197"/>
      <c r="J526" s="197"/>
      <c r="K526" s="197"/>
      <c r="L526" s="198"/>
      <c r="M526" s="199"/>
      <c r="N526" s="200"/>
      <c r="O526" s="222"/>
      <c r="P526" s="214">
        <f t="shared" si="22"/>
        <v>0</v>
      </c>
      <c r="Q526" s="421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</row>
    <row r="527" spans="1:50" s="10" customFormat="1" ht="14">
      <c r="A527"/>
      <c r="B527"/>
      <c r="C527"/>
      <c r="D527" s="155"/>
      <c r="E527" s="203" t="s">
        <v>397</v>
      </c>
      <c r="F527" s="197"/>
      <c r="G527" s="197"/>
      <c r="H527" s="197"/>
      <c r="I527" s="197"/>
      <c r="J527" s="197"/>
      <c r="K527" s="197"/>
      <c r="L527" s="198"/>
      <c r="M527" s="199">
        <f>(M292+M293+M294+M295+M296)*(150/5625)</f>
        <v>1942.9333333333334</v>
      </c>
      <c r="N527" s="200" t="s">
        <v>7</v>
      </c>
      <c r="O527" s="222">
        <v>0.85</v>
      </c>
      <c r="P527" s="214">
        <f t="shared" si="22"/>
        <v>1651.4933333333333</v>
      </c>
      <c r="Q527" s="421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</row>
    <row r="528" spans="1:50" s="10" customFormat="1" ht="14">
      <c r="A528"/>
      <c r="B528"/>
      <c r="C528"/>
      <c r="D528" s="155"/>
      <c r="E528" s="203" t="s">
        <v>398</v>
      </c>
      <c r="F528" s="197"/>
      <c r="G528" s="197"/>
      <c r="H528" s="197"/>
      <c r="I528" s="197"/>
      <c r="J528" s="197"/>
      <c r="K528" s="197"/>
      <c r="L528" s="198"/>
      <c r="M528" s="199">
        <f>(M292+M293+M294+M295+M296)*(30/225)</f>
        <v>9714.6666666666661</v>
      </c>
      <c r="N528" s="200" t="s">
        <v>7</v>
      </c>
      <c r="O528" s="222">
        <v>0.45</v>
      </c>
      <c r="P528" s="214">
        <f t="shared" si="22"/>
        <v>4371.5999999999995</v>
      </c>
      <c r="Q528" s="421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</row>
    <row r="529" spans="1:50" s="10" customFormat="1" ht="14">
      <c r="A529"/>
      <c r="B529"/>
      <c r="C529"/>
      <c r="D529" s="155"/>
      <c r="E529" s="203" t="s">
        <v>399</v>
      </c>
      <c r="F529" s="197"/>
      <c r="G529" s="197"/>
      <c r="H529" s="197"/>
      <c r="I529" s="197"/>
      <c r="J529" s="197"/>
      <c r="K529" s="197"/>
      <c r="L529" s="198"/>
      <c r="M529" s="199">
        <f>M304+M305</f>
        <v>3497</v>
      </c>
      <c r="N529" s="200" t="s">
        <v>7</v>
      </c>
      <c r="O529" s="222">
        <v>1.5</v>
      </c>
      <c r="P529" s="214">
        <f t="shared" si="22"/>
        <v>5245.5</v>
      </c>
      <c r="Q529" s="421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</row>
    <row r="530" spans="1:50" s="10" customFormat="1" ht="14">
      <c r="A530"/>
      <c r="B530"/>
      <c r="C530"/>
      <c r="D530" s="155"/>
      <c r="E530" s="203" t="s">
        <v>400</v>
      </c>
      <c r="F530" s="197"/>
      <c r="G530" s="197"/>
      <c r="H530" s="197"/>
      <c r="I530" s="197"/>
      <c r="J530" s="197"/>
      <c r="K530" s="197"/>
      <c r="L530" s="198"/>
      <c r="M530" s="199">
        <f>(M298+M301)*(10/75)</f>
        <v>2592</v>
      </c>
      <c r="N530" s="200" t="s">
        <v>7</v>
      </c>
      <c r="O530" s="222">
        <v>1.5</v>
      </c>
      <c r="P530" s="214">
        <f t="shared" si="22"/>
        <v>3888</v>
      </c>
      <c r="Q530" s="421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</row>
    <row r="531" spans="1:50" s="10" customFormat="1" ht="14">
      <c r="A531"/>
      <c r="B531"/>
      <c r="C531"/>
      <c r="D531" s="155"/>
      <c r="E531" s="203"/>
      <c r="F531" s="197"/>
      <c r="G531" s="197"/>
      <c r="H531" s="197"/>
      <c r="I531" s="197"/>
      <c r="J531" s="197"/>
      <c r="K531" s="197"/>
      <c r="L531" s="198"/>
      <c r="M531" s="206"/>
      <c r="N531" s="200"/>
      <c r="O531" s="222"/>
      <c r="P531" s="214">
        <f t="shared" si="22"/>
        <v>0</v>
      </c>
      <c r="Q531" s="42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</row>
    <row r="532" spans="1:50" s="10" customFormat="1" ht="14">
      <c r="A532"/>
      <c r="B532"/>
      <c r="C532"/>
      <c r="D532" s="155"/>
      <c r="E532" s="203"/>
      <c r="F532" s="197"/>
      <c r="G532" s="197"/>
      <c r="H532" s="197"/>
      <c r="I532" s="197"/>
      <c r="J532" s="197"/>
      <c r="K532" s="197"/>
      <c r="L532" s="198"/>
      <c r="M532" s="206"/>
      <c r="N532" s="200"/>
      <c r="O532" s="222"/>
      <c r="P532" s="214">
        <f t="shared" si="22"/>
        <v>0</v>
      </c>
      <c r="Q532" s="421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</row>
    <row r="533" spans="1:50" s="10" customFormat="1" ht="14">
      <c r="A533"/>
      <c r="B533"/>
      <c r="C533"/>
      <c r="D533" s="155"/>
      <c r="E533" s="273" t="s">
        <v>401</v>
      </c>
      <c r="F533" s="197"/>
      <c r="G533" s="197"/>
      <c r="H533" s="197"/>
      <c r="I533" s="197"/>
      <c r="J533" s="197"/>
      <c r="K533" s="197"/>
      <c r="L533" s="198"/>
      <c r="M533" s="206"/>
      <c r="N533" s="200"/>
      <c r="O533" s="222"/>
      <c r="P533" s="214">
        <f t="shared" si="22"/>
        <v>0</v>
      </c>
      <c r="Q533" s="421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</row>
    <row r="534" spans="1:50" s="10" customFormat="1" ht="14">
      <c r="A534"/>
      <c r="B534"/>
      <c r="C534"/>
      <c r="D534" s="155"/>
      <c r="E534" s="203" t="s">
        <v>621</v>
      </c>
      <c r="F534" s="197"/>
      <c r="G534" s="197"/>
      <c r="H534" s="197"/>
      <c r="I534" s="197"/>
      <c r="J534" s="197"/>
      <c r="K534" s="197"/>
      <c r="L534" s="198"/>
      <c r="M534" s="199">
        <v>1</v>
      </c>
      <c r="N534" s="200" t="s">
        <v>164</v>
      </c>
      <c r="O534" s="222">
        <v>15000</v>
      </c>
      <c r="P534" s="214">
        <f t="shared" si="22"/>
        <v>15000</v>
      </c>
      <c r="Q534" s="421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</row>
    <row r="535" spans="1:50" s="10" customFormat="1" ht="14">
      <c r="A535"/>
      <c r="B535"/>
      <c r="C535"/>
      <c r="D535" s="155"/>
      <c r="E535" s="203" t="s">
        <v>402</v>
      </c>
      <c r="F535" s="197"/>
      <c r="G535" s="197"/>
      <c r="H535" s="197"/>
      <c r="I535" s="197"/>
      <c r="J535" s="197"/>
      <c r="K535" s="197"/>
      <c r="L535" s="198"/>
      <c r="M535" s="199">
        <f>M557</f>
        <v>31</v>
      </c>
      <c r="N535" s="200" t="s">
        <v>162</v>
      </c>
      <c r="O535" s="222">
        <v>100</v>
      </c>
      <c r="P535" s="214">
        <f t="shared" si="22"/>
        <v>3100</v>
      </c>
      <c r="Q535" s="421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</row>
    <row r="536" spans="1:50" s="10" customFormat="1" ht="14">
      <c r="A536"/>
      <c r="B536"/>
      <c r="C536"/>
      <c r="D536" s="155"/>
      <c r="E536" s="203" t="s">
        <v>403</v>
      </c>
      <c r="F536" s="197"/>
      <c r="G536" s="197"/>
      <c r="H536" s="197"/>
      <c r="I536" s="197"/>
      <c r="J536" s="197"/>
      <c r="K536" s="197"/>
      <c r="L536" s="198"/>
      <c r="M536" s="199">
        <f>M359+M360</f>
        <v>9865</v>
      </c>
      <c r="N536" s="200" t="s">
        <v>5</v>
      </c>
      <c r="O536" s="222">
        <v>0.75</v>
      </c>
      <c r="P536" s="214">
        <f t="shared" si="22"/>
        <v>7398.75</v>
      </c>
      <c r="Q536" s="421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</row>
    <row r="537" spans="1:50" s="10" customFormat="1" ht="14">
      <c r="A537"/>
      <c r="B537"/>
      <c r="C537"/>
      <c r="D537" s="155"/>
      <c r="E537" s="230" t="s">
        <v>404</v>
      </c>
      <c r="F537" s="197"/>
      <c r="G537" s="197"/>
      <c r="H537" s="197"/>
      <c r="I537" s="197"/>
      <c r="J537" s="197"/>
      <c r="K537" s="197"/>
      <c r="L537" s="198"/>
      <c r="M537" s="199">
        <f>M364+M363+M621</f>
        <v>35348</v>
      </c>
      <c r="N537" s="200" t="s">
        <v>5</v>
      </c>
      <c r="O537" s="222">
        <v>3</v>
      </c>
      <c r="P537" s="214">
        <f t="shared" si="22"/>
        <v>106044</v>
      </c>
      <c r="Q537" s="421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</row>
    <row r="538" spans="1:50" s="10" customFormat="1" ht="14">
      <c r="A538"/>
      <c r="B538"/>
      <c r="C538"/>
      <c r="D538" s="155"/>
      <c r="E538" s="203" t="s">
        <v>760</v>
      </c>
      <c r="F538" s="197"/>
      <c r="G538" s="197"/>
      <c r="H538" s="197"/>
      <c r="I538" s="197"/>
      <c r="J538" s="197"/>
      <c r="K538" s="197"/>
      <c r="L538" s="198"/>
      <c r="M538" s="199">
        <v>1</v>
      </c>
      <c r="N538" s="200" t="s">
        <v>164</v>
      </c>
      <c r="O538" s="222">
        <v>10000</v>
      </c>
      <c r="P538" s="214">
        <f t="shared" si="22"/>
        <v>10000</v>
      </c>
      <c r="Q538" s="421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</row>
    <row r="539" spans="1:50" s="10" customFormat="1" ht="14">
      <c r="A539"/>
      <c r="B539"/>
      <c r="C539"/>
      <c r="D539" s="155"/>
      <c r="E539" s="203" t="s">
        <v>819</v>
      </c>
      <c r="F539" s="197"/>
      <c r="G539" s="197"/>
      <c r="H539" s="197"/>
      <c r="I539" s="197"/>
      <c r="J539" s="197"/>
      <c r="K539" s="197"/>
      <c r="L539" s="198"/>
      <c r="M539" s="199">
        <f>80+25+25+80</f>
        <v>210</v>
      </c>
      <c r="N539" s="200" t="s">
        <v>7</v>
      </c>
      <c r="O539" s="222">
        <v>85</v>
      </c>
      <c r="P539" s="214">
        <f t="shared" si="22"/>
        <v>17850</v>
      </c>
      <c r="Q539" s="421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</row>
    <row r="540" spans="1:50" s="10" customFormat="1" ht="14">
      <c r="A540"/>
      <c r="B540"/>
      <c r="C540"/>
      <c r="D540" s="155"/>
      <c r="E540" s="196"/>
      <c r="F540" s="197"/>
      <c r="G540" s="197"/>
      <c r="H540" s="197"/>
      <c r="I540" s="197"/>
      <c r="J540" s="197"/>
      <c r="K540" s="197"/>
      <c r="L540" s="198"/>
      <c r="M540" s="199"/>
      <c r="N540" s="200"/>
      <c r="O540" s="246"/>
      <c r="P540" s="214">
        <f>M540*O540</f>
        <v>0</v>
      </c>
      <c r="Q540" s="421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</row>
    <row r="541" spans="1:50" s="10" customFormat="1" ht="14">
      <c r="A541"/>
      <c r="B541"/>
      <c r="C541"/>
      <c r="D541" s="155"/>
      <c r="E541" s="179"/>
      <c r="F541" s="180"/>
      <c r="G541" s="180"/>
      <c r="H541" s="180"/>
      <c r="I541" s="180"/>
      <c r="J541" s="180"/>
      <c r="K541" s="180"/>
      <c r="L541" s="181"/>
      <c r="M541" s="182"/>
      <c r="N541" s="183"/>
      <c r="O541" s="184"/>
      <c r="P541" s="185"/>
      <c r="Q541" s="185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</row>
    <row r="542" spans="1:50" s="10" customFormat="1" ht="14">
      <c r="A542"/>
      <c r="B542"/>
      <c r="C542"/>
      <c r="D542" s="155"/>
      <c r="E542" s="202"/>
      <c r="F542" s="241"/>
      <c r="G542" s="241"/>
      <c r="H542" s="241"/>
      <c r="I542" s="241"/>
      <c r="J542" s="241"/>
      <c r="K542" s="241"/>
      <c r="L542" s="242"/>
      <c r="M542" s="243"/>
      <c r="N542" s="244"/>
      <c r="O542" s="245"/>
      <c r="P542" s="214">
        <f>SUM(P522:P541)</f>
        <v>174549.34333333332</v>
      </c>
      <c r="Q542" s="421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</row>
    <row r="543" spans="1:50" s="10" customFormat="1" ht="14">
      <c r="A543"/>
      <c r="B543"/>
      <c r="C543"/>
      <c r="D543" s="155"/>
      <c r="E543" s="154"/>
      <c r="F543" s="154"/>
      <c r="G543" s="154"/>
      <c r="H543" s="154"/>
      <c r="I543" s="154"/>
      <c r="J543" s="154"/>
      <c r="K543" s="154"/>
      <c r="L543" s="154"/>
      <c r="M543" s="156"/>
      <c r="N543" s="157"/>
      <c r="O543" s="158"/>
      <c r="P543" s="159"/>
      <c r="Q543" s="160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</row>
    <row r="544" spans="1:50" s="10" customFormat="1" ht="14.5">
      <c r="A544" s="6"/>
      <c r="B544" s="6"/>
      <c r="C544" s="6"/>
      <c r="D544" s="148"/>
      <c r="E544" s="147"/>
      <c r="F544" s="147" t="s">
        <v>74</v>
      </c>
      <c r="G544" s="147"/>
      <c r="H544" s="147"/>
      <c r="I544" s="147"/>
      <c r="J544" s="147"/>
      <c r="K544" s="147"/>
      <c r="L544" s="147"/>
      <c r="M544" s="149"/>
      <c r="N544" s="150"/>
      <c r="O544" s="151"/>
      <c r="P544" s="152"/>
      <c r="Q544" s="152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</row>
    <row r="545" spans="1:50" s="10" customFormat="1" ht="14">
      <c r="A545"/>
      <c r="B545"/>
      <c r="C545"/>
      <c r="D545" s="155"/>
      <c r="E545" s="154"/>
      <c r="F545" s="154"/>
      <c r="G545" s="154"/>
      <c r="H545" s="154"/>
      <c r="I545" s="154"/>
      <c r="J545" s="154"/>
      <c r="K545" s="154"/>
      <c r="L545" s="154"/>
      <c r="M545" s="156"/>
      <c r="N545" s="157"/>
      <c r="O545" s="158"/>
      <c r="P545" s="159"/>
      <c r="Q545" s="160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</row>
    <row r="546" spans="1:50" s="10" customFormat="1" ht="14">
      <c r="A546"/>
      <c r="B546"/>
      <c r="C546"/>
      <c r="D546" s="155"/>
      <c r="E546" s="168"/>
      <c r="F546" s="169"/>
      <c r="G546" s="169"/>
      <c r="H546" s="169"/>
      <c r="I546" s="169"/>
      <c r="J546" s="169"/>
      <c r="K546" s="169"/>
      <c r="L546" s="163"/>
      <c r="M546" s="164"/>
      <c r="N546" s="165"/>
      <c r="O546" s="166"/>
      <c r="P546" s="167"/>
      <c r="Q546" s="167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</row>
    <row r="547" spans="1:50" s="10" customFormat="1" ht="14">
      <c r="A547"/>
      <c r="B547"/>
      <c r="C547"/>
      <c r="D547" s="155"/>
      <c r="E547" s="168" t="str">
        <f>RECAP!F36</f>
        <v>DOORS / FRAMES / HARDWARE</v>
      </c>
      <c r="F547" s="168"/>
      <c r="G547" s="168"/>
      <c r="H547" s="168"/>
      <c r="I547" s="168"/>
      <c r="J547" s="168"/>
      <c r="K547" s="168"/>
      <c r="L547" s="163"/>
      <c r="M547" s="164"/>
      <c r="N547" s="165"/>
      <c r="O547" s="166"/>
      <c r="P547" s="167"/>
      <c r="Q547" s="16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</row>
    <row r="548" spans="1:50" s="10" customFormat="1" ht="14">
      <c r="A548"/>
      <c r="B548"/>
      <c r="C548"/>
      <c r="D548" s="155"/>
      <c r="E548" s="154"/>
      <c r="F548" s="154"/>
      <c r="G548" s="154"/>
      <c r="H548" s="154"/>
      <c r="I548" s="154"/>
      <c r="J548" s="154"/>
      <c r="K548" s="154"/>
      <c r="L548" s="154"/>
      <c r="M548" s="156"/>
      <c r="N548" s="157"/>
      <c r="O548" s="158"/>
      <c r="P548" s="159"/>
      <c r="Q548" s="160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</row>
    <row r="549" spans="1:50" s="10" customFormat="1" ht="14">
      <c r="A549"/>
      <c r="B549"/>
      <c r="C549"/>
      <c r="D549" s="170"/>
      <c r="E549" s="171"/>
      <c r="F549" s="172"/>
      <c r="G549" s="172" t="s">
        <v>13</v>
      </c>
      <c r="H549" s="172"/>
      <c r="I549" s="172"/>
      <c r="J549" s="172"/>
      <c r="K549" s="172"/>
      <c r="L549" s="173"/>
      <c r="M549" s="174" t="s">
        <v>23</v>
      </c>
      <c r="N549" s="175" t="s">
        <v>151</v>
      </c>
      <c r="O549" s="176" t="s">
        <v>152</v>
      </c>
      <c r="P549" s="177" t="s">
        <v>153</v>
      </c>
      <c r="Q549" s="416" t="s">
        <v>17</v>
      </c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</row>
    <row r="550" spans="1:50" s="10" customFormat="1" ht="14">
      <c r="A550"/>
      <c r="B550"/>
      <c r="C550"/>
      <c r="D550" s="155"/>
      <c r="E550" s="179"/>
      <c r="F550" s="180"/>
      <c r="G550" s="180"/>
      <c r="H550" s="180"/>
      <c r="I550" s="180"/>
      <c r="J550" s="180"/>
      <c r="K550" s="180"/>
      <c r="L550" s="181"/>
      <c r="M550" s="182"/>
      <c r="N550" s="183"/>
      <c r="O550" s="184"/>
      <c r="P550" s="185"/>
      <c r="Q550" s="417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</row>
    <row r="551" spans="1:50" s="10" customFormat="1" ht="14.5" thickBot="1">
      <c r="A551"/>
      <c r="B551"/>
      <c r="C551"/>
      <c r="D551" s="148"/>
      <c r="E551" s="186" t="s">
        <v>154</v>
      </c>
      <c r="F551" s="187"/>
      <c r="G551" s="187"/>
      <c r="H551" s="187"/>
      <c r="I551" s="187"/>
      <c r="J551" s="187"/>
      <c r="K551" s="187"/>
      <c r="L551" s="188"/>
      <c r="M551" s="189"/>
      <c r="N551" s="190"/>
      <c r="O551" s="220"/>
      <c r="P551" s="221">
        <f>M551*O551</f>
        <v>0</v>
      </c>
      <c r="Q551" s="42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</row>
    <row r="552" spans="1:50" s="10" customFormat="1" ht="14.5" thickTop="1">
      <c r="A552"/>
      <c r="B552"/>
      <c r="C552"/>
      <c r="D552" s="148"/>
      <c r="E552" s="191"/>
      <c r="F552" s="192"/>
      <c r="G552" s="192"/>
      <c r="H552" s="192"/>
      <c r="I552" s="192"/>
      <c r="J552" s="192"/>
      <c r="K552" s="192"/>
      <c r="L552" s="193"/>
      <c r="M552" s="194"/>
      <c r="N552" s="195"/>
      <c r="O552" s="225"/>
      <c r="P552" s="226">
        <f>M552*O552</f>
        <v>0</v>
      </c>
      <c r="Q552" s="421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</row>
    <row r="553" spans="1:50" s="10" customFormat="1" ht="14">
      <c r="A553"/>
      <c r="B553"/>
      <c r="C553"/>
      <c r="D553" s="155"/>
      <c r="E553" s="217" t="s">
        <v>405</v>
      </c>
      <c r="F553" s="197"/>
      <c r="G553" s="197"/>
      <c r="H553" s="197"/>
      <c r="I553" s="197"/>
      <c r="J553" s="197"/>
      <c r="K553" s="197"/>
      <c r="L553" s="198"/>
      <c r="M553" s="206"/>
      <c r="N553" s="200"/>
      <c r="O553" s="222"/>
      <c r="P553" s="214">
        <f t="shared" ref="P553:P565" si="23">M553*O553</f>
        <v>0</v>
      </c>
      <c r="Q553" s="421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</row>
    <row r="554" spans="1:50" s="10" customFormat="1" ht="14">
      <c r="A554"/>
      <c r="B554"/>
      <c r="C554"/>
      <c r="D554" s="155"/>
      <c r="E554" s="203"/>
      <c r="F554" s="197"/>
      <c r="G554" s="197"/>
      <c r="H554" s="197"/>
      <c r="I554" s="197"/>
      <c r="J554" s="197"/>
      <c r="K554" s="197"/>
      <c r="L554" s="198"/>
      <c r="M554" s="206"/>
      <c r="N554" s="200"/>
      <c r="O554" s="222"/>
      <c r="P554" s="214">
        <f t="shared" si="23"/>
        <v>0</v>
      </c>
      <c r="Q554" s="421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</row>
    <row r="555" spans="1:50" s="10" customFormat="1" ht="14">
      <c r="A555"/>
      <c r="B555"/>
      <c r="C555"/>
      <c r="D555" s="155"/>
      <c r="E555" s="202" t="s">
        <v>406</v>
      </c>
      <c r="F555" s="197"/>
      <c r="G555" s="197"/>
      <c r="H555" s="197"/>
      <c r="I555" s="197"/>
      <c r="J555" s="197"/>
      <c r="K555" s="197"/>
      <c r="L555" s="198"/>
      <c r="M555" s="199"/>
      <c r="N555" s="200"/>
      <c r="O555" s="222"/>
      <c r="P555" s="214">
        <f t="shared" si="23"/>
        <v>0</v>
      </c>
      <c r="Q555" s="421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</row>
    <row r="556" spans="1:50" s="10" customFormat="1" ht="14">
      <c r="A556"/>
      <c r="B556"/>
      <c r="C556"/>
      <c r="D556" s="155"/>
      <c r="E556" s="218" t="s">
        <v>407</v>
      </c>
      <c r="F556" s="197"/>
      <c r="G556" s="197"/>
      <c r="H556" s="197"/>
      <c r="I556" s="197"/>
      <c r="J556" s="197"/>
      <c r="K556" s="197"/>
      <c r="L556" s="198"/>
      <c r="M556" s="199">
        <v>31</v>
      </c>
      <c r="N556" s="200" t="s">
        <v>162</v>
      </c>
      <c r="O556" s="222">
        <v>400</v>
      </c>
      <c r="P556" s="214">
        <f t="shared" si="23"/>
        <v>12400</v>
      </c>
      <c r="Q556" s="421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</row>
    <row r="557" spans="1:50" s="10" customFormat="1" ht="14">
      <c r="A557"/>
      <c r="B557"/>
      <c r="C557"/>
      <c r="D557" s="155"/>
      <c r="E557" s="218" t="s">
        <v>408</v>
      </c>
      <c r="F557" s="197"/>
      <c r="G557" s="197"/>
      <c r="H557" s="197"/>
      <c r="I557" s="197"/>
      <c r="J557" s="197"/>
      <c r="K557" s="197"/>
      <c r="L557" s="198"/>
      <c r="M557" s="199">
        <v>31</v>
      </c>
      <c r="N557" s="200" t="s">
        <v>162</v>
      </c>
      <c r="O557" s="222">
        <v>650</v>
      </c>
      <c r="P557" s="214">
        <f t="shared" si="23"/>
        <v>20150</v>
      </c>
      <c r="Q557" s="421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</row>
    <row r="558" spans="1:50" s="10" customFormat="1" ht="14">
      <c r="A558"/>
      <c r="B558"/>
      <c r="C558"/>
      <c r="D558" s="155"/>
      <c r="E558" s="218" t="s">
        <v>409</v>
      </c>
      <c r="F558" s="197"/>
      <c r="G558" s="197"/>
      <c r="H558" s="197"/>
      <c r="I558" s="197"/>
      <c r="J558" s="197"/>
      <c r="K558" s="197"/>
      <c r="L558" s="198"/>
      <c r="M558" s="199">
        <v>109</v>
      </c>
      <c r="N558" s="200" t="s">
        <v>162</v>
      </c>
      <c r="O558" s="222">
        <v>350</v>
      </c>
      <c r="P558" s="214">
        <f t="shared" si="23"/>
        <v>38150</v>
      </c>
      <c r="Q558" s="421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</row>
    <row r="559" spans="1:50" s="10" customFormat="1" ht="14">
      <c r="A559"/>
      <c r="B559"/>
      <c r="C559"/>
      <c r="D559" s="155"/>
      <c r="E559" s="218" t="s">
        <v>410</v>
      </c>
      <c r="F559" s="197"/>
      <c r="G559" s="197"/>
      <c r="H559" s="197" t="s">
        <v>411</v>
      </c>
      <c r="I559" s="197"/>
      <c r="J559" s="197"/>
      <c r="K559" s="197"/>
      <c r="L559" s="198"/>
      <c r="M559" s="199">
        <v>109</v>
      </c>
      <c r="N559" s="200" t="s">
        <v>162</v>
      </c>
      <c r="O559" s="222">
        <v>600</v>
      </c>
      <c r="P559" s="214">
        <f t="shared" si="23"/>
        <v>65400</v>
      </c>
      <c r="Q559" s="421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</row>
    <row r="560" spans="1:50" s="10" customFormat="1" ht="14">
      <c r="A560"/>
      <c r="B560"/>
      <c r="C560"/>
      <c r="D560" s="155"/>
      <c r="E560" s="218" t="s">
        <v>748</v>
      </c>
      <c r="F560" s="197"/>
      <c r="G560" s="197"/>
      <c r="H560" s="197"/>
      <c r="I560" s="197"/>
      <c r="J560" s="197"/>
      <c r="K560" s="197"/>
      <c r="L560" s="198"/>
      <c r="M560" s="199">
        <v>2</v>
      </c>
      <c r="N560" s="200" t="s">
        <v>162</v>
      </c>
      <c r="O560" s="222">
        <v>8500</v>
      </c>
      <c r="P560" s="214">
        <f t="shared" si="23"/>
        <v>17000</v>
      </c>
      <c r="Q560" s="421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</row>
    <row r="561" spans="1:50" s="10" customFormat="1" ht="14">
      <c r="A561"/>
      <c r="B561"/>
      <c r="C561"/>
      <c r="D561" s="155"/>
      <c r="E561" s="218" t="s">
        <v>412</v>
      </c>
      <c r="F561" s="197"/>
      <c r="G561" s="197"/>
      <c r="H561" s="197"/>
      <c r="I561" s="197"/>
      <c r="J561" s="197"/>
      <c r="K561" s="197"/>
      <c r="L561" s="198"/>
      <c r="M561" s="199">
        <f>M559+M557</f>
        <v>140</v>
      </c>
      <c r="N561" s="200" t="s">
        <v>162</v>
      </c>
      <c r="O561" s="222">
        <v>1500</v>
      </c>
      <c r="P561" s="214">
        <f t="shared" si="23"/>
        <v>210000</v>
      </c>
      <c r="Q561" s="42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</row>
    <row r="562" spans="1:50" s="10" customFormat="1" ht="14">
      <c r="A562"/>
      <c r="B562"/>
      <c r="C562"/>
      <c r="D562" s="155"/>
      <c r="E562" s="218"/>
      <c r="F562" s="197"/>
      <c r="G562" s="197"/>
      <c r="H562" s="197"/>
      <c r="I562" s="197"/>
      <c r="J562" s="197"/>
      <c r="K562" s="197"/>
      <c r="L562" s="198"/>
      <c r="M562" s="199"/>
      <c r="N562" s="200"/>
      <c r="O562" s="222"/>
      <c r="P562" s="214">
        <f t="shared" si="23"/>
        <v>0</v>
      </c>
      <c r="Q562" s="421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</row>
    <row r="563" spans="1:50" s="10" customFormat="1" ht="14">
      <c r="A563"/>
      <c r="B563"/>
      <c r="C563"/>
      <c r="D563" s="155"/>
      <c r="E563" s="218" t="s">
        <v>413</v>
      </c>
      <c r="F563" s="197"/>
      <c r="G563" s="197"/>
      <c r="H563" s="197"/>
      <c r="I563" s="197"/>
      <c r="J563" s="197"/>
      <c r="K563" s="197"/>
      <c r="L563" s="198"/>
      <c r="M563" s="199">
        <f>M561</f>
        <v>140</v>
      </c>
      <c r="N563" s="200" t="s">
        <v>162</v>
      </c>
      <c r="O563" s="222">
        <v>300</v>
      </c>
      <c r="P563" s="214">
        <f t="shared" si="23"/>
        <v>42000</v>
      </c>
      <c r="Q563" s="421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</row>
    <row r="564" spans="1:50" s="10" customFormat="1" ht="14">
      <c r="A564"/>
      <c r="B564"/>
      <c r="C564"/>
      <c r="D564" s="155"/>
      <c r="E564" s="218"/>
      <c r="F564" s="197"/>
      <c r="G564" s="197"/>
      <c r="H564" s="197"/>
      <c r="I564" s="197"/>
      <c r="J564" s="197"/>
      <c r="K564" s="197"/>
      <c r="L564" s="198"/>
      <c r="M564" s="206"/>
      <c r="N564" s="200"/>
      <c r="O564" s="222"/>
      <c r="P564" s="214">
        <f t="shared" si="23"/>
        <v>0</v>
      </c>
      <c r="Q564" s="421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</row>
    <row r="565" spans="1:50" s="10" customFormat="1" ht="14">
      <c r="A565"/>
      <c r="B565"/>
      <c r="C565"/>
      <c r="D565" s="155"/>
      <c r="E565" s="203"/>
      <c r="F565" s="197"/>
      <c r="G565" s="197"/>
      <c r="H565" s="197"/>
      <c r="I565" s="197"/>
      <c r="J565" s="197"/>
      <c r="K565" s="197"/>
      <c r="L565" s="198"/>
      <c r="M565" s="199"/>
      <c r="N565" s="200"/>
      <c r="O565" s="246"/>
      <c r="P565" s="214">
        <f t="shared" si="23"/>
        <v>0</v>
      </c>
      <c r="Q565" s="421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</row>
    <row r="566" spans="1:50" s="10" customFormat="1" ht="14">
      <c r="A566"/>
      <c r="B566"/>
      <c r="C566"/>
      <c r="D566" s="155"/>
      <c r="E566" s="179"/>
      <c r="F566" s="180"/>
      <c r="G566" s="180"/>
      <c r="H566" s="180"/>
      <c r="I566" s="180"/>
      <c r="J566" s="180"/>
      <c r="K566" s="180"/>
      <c r="L566" s="181"/>
      <c r="M566" s="182"/>
      <c r="N566" s="183"/>
      <c r="O566" s="184"/>
      <c r="P566" s="185"/>
      <c r="Q566" s="185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</row>
    <row r="567" spans="1:50" s="10" customFormat="1" ht="14">
      <c r="A567"/>
      <c r="B567"/>
      <c r="C567"/>
      <c r="D567" s="148"/>
      <c r="E567" s="202"/>
      <c r="F567" s="241"/>
      <c r="G567" s="241"/>
      <c r="H567" s="241"/>
      <c r="I567" s="241"/>
      <c r="J567" s="241"/>
      <c r="K567" s="241"/>
      <c r="L567" s="242"/>
      <c r="M567" s="243"/>
      <c r="N567" s="244"/>
      <c r="O567" s="245"/>
      <c r="P567" s="214">
        <f>SUM(P550:P566)</f>
        <v>405100</v>
      </c>
      <c r="Q567" s="421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</row>
    <row r="568" spans="1:50" s="10" customFormat="1" ht="14">
      <c r="A568"/>
      <c r="B568"/>
      <c r="C568"/>
      <c r="D568" s="155"/>
      <c r="E568" s="154"/>
      <c r="F568" s="154"/>
      <c r="G568" s="154"/>
      <c r="H568" s="154"/>
      <c r="I568" s="154"/>
      <c r="J568" s="154"/>
      <c r="K568" s="154"/>
      <c r="L568" s="154"/>
      <c r="M568" s="156"/>
      <c r="N568" s="157"/>
      <c r="O568" s="158"/>
      <c r="P568" s="159"/>
      <c r="Q568" s="160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</row>
    <row r="569" spans="1:50" s="10" customFormat="1" ht="14">
      <c r="A569"/>
      <c r="B569"/>
      <c r="C569"/>
      <c r="D569" s="155"/>
      <c r="E569" s="168"/>
      <c r="F569" s="169"/>
      <c r="G569" s="169"/>
      <c r="H569" s="169"/>
      <c r="I569" s="169"/>
      <c r="J569" s="169"/>
      <c r="K569" s="169"/>
      <c r="L569" s="163"/>
      <c r="M569" s="164"/>
      <c r="N569" s="165"/>
      <c r="O569" s="166"/>
      <c r="P569" s="167"/>
      <c r="Q569" s="167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</row>
    <row r="570" spans="1:50" s="10" customFormat="1" ht="14">
      <c r="A570"/>
      <c r="B570"/>
      <c r="C570"/>
      <c r="D570" s="155"/>
      <c r="E570" s="168" t="str">
        <f>RECAP!F37</f>
        <v xml:space="preserve">OVERHEAD DOORS </v>
      </c>
      <c r="F570" s="168"/>
      <c r="G570" s="168"/>
      <c r="H570" s="168"/>
      <c r="I570" s="168"/>
      <c r="J570" s="168"/>
      <c r="K570" s="168"/>
      <c r="L570" s="163"/>
      <c r="M570" s="164"/>
      <c r="N570" s="165"/>
      <c r="O570" s="166"/>
      <c r="P570" s="167"/>
      <c r="Q570" s="167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</row>
    <row r="571" spans="1:50" s="10" customFormat="1" ht="14">
      <c r="A571"/>
      <c r="B571"/>
      <c r="C571"/>
      <c r="D571" s="155"/>
      <c r="E571" s="154"/>
      <c r="F571" s="154"/>
      <c r="G571" s="154"/>
      <c r="H571" s="154"/>
      <c r="I571" s="154"/>
      <c r="J571" s="154"/>
      <c r="K571" s="154"/>
      <c r="L571" s="154"/>
      <c r="M571" s="156"/>
      <c r="N571" s="157"/>
      <c r="O571" s="158"/>
      <c r="P571" s="159"/>
      <c r="Q571" s="160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</row>
    <row r="572" spans="1:50" s="10" customFormat="1" ht="14">
      <c r="A572"/>
      <c r="B572"/>
      <c r="C572"/>
      <c r="D572" s="170"/>
      <c r="E572" s="171"/>
      <c r="F572" s="172"/>
      <c r="G572" s="172" t="s">
        <v>13</v>
      </c>
      <c r="H572" s="172"/>
      <c r="I572" s="172"/>
      <c r="J572" s="172"/>
      <c r="K572" s="172"/>
      <c r="L572" s="173"/>
      <c r="M572" s="174" t="s">
        <v>23</v>
      </c>
      <c r="N572" s="175" t="s">
        <v>151</v>
      </c>
      <c r="O572" s="176" t="s">
        <v>152</v>
      </c>
      <c r="P572" s="177" t="s">
        <v>153</v>
      </c>
      <c r="Q572" s="416" t="s">
        <v>17</v>
      </c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</row>
    <row r="573" spans="1:50" s="10" customFormat="1" ht="14">
      <c r="A573"/>
      <c r="B573"/>
      <c r="C573"/>
      <c r="D573" s="155"/>
      <c r="E573" s="179"/>
      <c r="F573" s="180"/>
      <c r="G573" s="180"/>
      <c r="H573" s="180"/>
      <c r="I573" s="180"/>
      <c r="J573" s="180"/>
      <c r="K573" s="180"/>
      <c r="L573" s="181"/>
      <c r="M573" s="182"/>
      <c r="N573" s="183"/>
      <c r="O573" s="184"/>
      <c r="P573" s="185"/>
      <c r="Q573" s="417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</row>
    <row r="574" spans="1:50" s="10" customFormat="1" ht="14.5" thickBot="1">
      <c r="A574"/>
      <c r="B574"/>
      <c r="C574"/>
      <c r="D574" s="148"/>
      <c r="E574" s="186" t="s">
        <v>154</v>
      </c>
      <c r="F574" s="187"/>
      <c r="G574" s="187"/>
      <c r="H574" s="187"/>
      <c r="I574" s="187"/>
      <c r="J574" s="187"/>
      <c r="K574" s="187"/>
      <c r="L574" s="188"/>
      <c r="M574" s="189"/>
      <c r="N574" s="190"/>
      <c r="O574" s="220"/>
      <c r="P574" s="221">
        <f>M574*O574</f>
        <v>0</v>
      </c>
      <c r="Q574" s="421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</row>
    <row r="575" spans="1:50" s="10" customFormat="1" ht="14.5" thickTop="1">
      <c r="A575"/>
      <c r="B575"/>
      <c r="C575"/>
      <c r="D575" s="155"/>
      <c r="E575" s="191"/>
      <c r="F575" s="192"/>
      <c r="G575" s="192"/>
      <c r="H575" s="192"/>
      <c r="I575" s="192"/>
      <c r="J575" s="192"/>
      <c r="K575" s="192"/>
      <c r="L575" s="193"/>
      <c r="M575" s="194"/>
      <c r="N575" s="195"/>
      <c r="O575" s="225"/>
      <c r="P575" s="226">
        <f>M575*O575</f>
        <v>0</v>
      </c>
      <c r="Q575" s="421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</row>
    <row r="576" spans="1:50" s="10" customFormat="1" ht="14">
      <c r="A576"/>
      <c r="B576"/>
      <c r="C576"/>
      <c r="D576" s="155"/>
      <c r="E576" s="254" t="s">
        <v>414</v>
      </c>
      <c r="F576" s="197"/>
      <c r="G576" s="197"/>
      <c r="H576" s="197"/>
      <c r="I576" s="197"/>
      <c r="J576" s="197"/>
      <c r="K576" s="197"/>
      <c r="L576" s="198"/>
      <c r="M576" s="206"/>
      <c r="N576" s="200"/>
      <c r="O576" s="222"/>
      <c r="P576" s="214">
        <f t="shared" ref="P576:P582" si="24">M576*O576</f>
        <v>0</v>
      </c>
      <c r="Q576" s="421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</row>
    <row r="577" spans="1:50" s="10" customFormat="1" ht="14">
      <c r="A577"/>
      <c r="B577"/>
      <c r="C577"/>
      <c r="D577" s="155"/>
      <c r="E577" s="203" t="s">
        <v>715</v>
      </c>
      <c r="F577" s="197"/>
      <c r="G577" s="197"/>
      <c r="H577" s="197" t="s">
        <v>730</v>
      </c>
      <c r="I577" s="197"/>
      <c r="J577" s="197"/>
      <c r="K577" s="197"/>
      <c r="L577" s="198"/>
      <c r="M577" s="206">
        <v>3</v>
      </c>
      <c r="N577" s="200" t="s">
        <v>162</v>
      </c>
      <c r="O577" s="222">
        <v>45000</v>
      </c>
      <c r="P577" s="214">
        <f t="shared" si="24"/>
        <v>135000</v>
      </c>
      <c r="Q577" s="421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</row>
    <row r="578" spans="1:50" s="10" customFormat="1" ht="14">
      <c r="A578"/>
      <c r="B578"/>
      <c r="C578"/>
      <c r="D578" s="155"/>
      <c r="E578" s="203" t="s">
        <v>818</v>
      </c>
      <c r="F578" s="197"/>
      <c r="G578" s="197"/>
      <c r="H578" s="197"/>
      <c r="I578" s="197"/>
      <c r="J578" s="197"/>
      <c r="K578" s="197"/>
      <c r="L578" s="198"/>
      <c r="M578" s="206">
        <v>3</v>
      </c>
      <c r="N578" s="200" t="s">
        <v>162</v>
      </c>
      <c r="O578" s="222">
        <v>25000</v>
      </c>
      <c r="P578" s="214">
        <f t="shared" si="24"/>
        <v>75000</v>
      </c>
      <c r="Q578" s="421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</row>
    <row r="579" spans="1:50" s="10" customFormat="1" ht="14">
      <c r="A579"/>
      <c r="B579"/>
      <c r="C579"/>
      <c r="D579" s="155"/>
      <c r="E579" s="203" t="s">
        <v>731</v>
      </c>
      <c r="F579" s="197"/>
      <c r="G579" s="197"/>
      <c r="H579" s="197"/>
      <c r="I579" s="197"/>
      <c r="J579" s="197"/>
      <c r="K579" s="197"/>
      <c r="L579" s="198"/>
      <c r="M579" s="206">
        <v>2</v>
      </c>
      <c r="N579" s="200" t="s">
        <v>162</v>
      </c>
      <c r="O579" s="222">
        <v>25000</v>
      </c>
      <c r="P579" s="214">
        <f t="shared" si="24"/>
        <v>50000</v>
      </c>
      <c r="Q579" s="421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</row>
    <row r="580" spans="1:50" s="10" customFormat="1" ht="14">
      <c r="A580"/>
      <c r="B580"/>
      <c r="C580"/>
      <c r="D580" s="155"/>
      <c r="E580" s="203" t="s">
        <v>717</v>
      </c>
      <c r="F580" s="197"/>
      <c r="G580" s="197"/>
      <c r="H580" s="197"/>
      <c r="I580" s="197"/>
      <c r="J580" s="197"/>
      <c r="K580" s="197"/>
      <c r="L580" s="198"/>
      <c r="M580" s="199">
        <v>2</v>
      </c>
      <c r="N580" s="200" t="s">
        <v>162</v>
      </c>
      <c r="O580" s="222">
        <v>7500</v>
      </c>
      <c r="P580" s="214">
        <f t="shared" si="24"/>
        <v>15000</v>
      </c>
      <c r="Q580" s="421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</row>
    <row r="581" spans="1:50" s="10" customFormat="1" ht="14">
      <c r="A581"/>
      <c r="B581"/>
      <c r="C581"/>
      <c r="D581" s="155"/>
      <c r="E581" s="203" t="s">
        <v>716</v>
      </c>
      <c r="F581" s="197"/>
      <c r="G581" s="197"/>
      <c r="H581" s="197"/>
      <c r="I581" s="197"/>
      <c r="J581" s="197"/>
      <c r="K581" s="197"/>
      <c r="L581" s="198"/>
      <c r="M581" s="199">
        <v>2</v>
      </c>
      <c r="N581" s="200" t="s">
        <v>162</v>
      </c>
      <c r="O581" s="222">
        <v>20000</v>
      </c>
      <c r="P581" s="214">
        <f t="shared" si="24"/>
        <v>40000</v>
      </c>
      <c r="Q581" s="42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</row>
    <row r="582" spans="1:50" s="10" customFormat="1" ht="14">
      <c r="A582"/>
      <c r="B582"/>
      <c r="C582"/>
      <c r="D582" s="155"/>
      <c r="E582" s="196"/>
      <c r="F582" s="197"/>
      <c r="G582" s="197"/>
      <c r="H582" s="197"/>
      <c r="I582" s="197"/>
      <c r="J582" s="197"/>
      <c r="K582" s="197"/>
      <c r="L582" s="198"/>
      <c r="M582" s="199"/>
      <c r="N582" s="200"/>
      <c r="O582" s="246"/>
      <c r="P582" s="214">
        <f t="shared" si="24"/>
        <v>0</v>
      </c>
      <c r="Q582" s="421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</row>
    <row r="583" spans="1:50" s="10" customFormat="1" ht="14">
      <c r="A583"/>
      <c r="B583"/>
      <c r="C583"/>
      <c r="D583" s="155"/>
      <c r="E583" s="179"/>
      <c r="F583" s="180"/>
      <c r="G583" s="180"/>
      <c r="H583" s="180"/>
      <c r="I583" s="180"/>
      <c r="J583" s="180"/>
      <c r="K583" s="180"/>
      <c r="L583" s="181"/>
      <c r="M583" s="182"/>
      <c r="N583" s="183"/>
      <c r="O583" s="184"/>
      <c r="P583" s="185"/>
      <c r="Q583" s="185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</row>
    <row r="584" spans="1:50" s="10" customFormat="1" ht="14">
      <c r="A584"/>
      <c r="B584"/>
      <c r="C584"/>
      <c r="D584" s="148"/>
      <c r="E584" s="202"/>
      <c r="F584" s="241"/>
      <c r="G584" s="241"/>
      <c r="H584" s="241"/>
      <c r="I584" s="241"/>
      <c r="J584" s="241"/>
      <c r="K584" s="241"/>
      <c r="L584" s="242"/>
      <c r="M584" s="243"/>
      <c r="N584" s="244"/>
      <c r="O584" s="245"/>
      <c r="P584" s="214">
        <f>SUM(P573:P583)</f>
        <v>315000</v>
      </c>
      <c r="Q584" s="421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</row>
    <row r="585" spans="1:50" s="10" customFormat="1" ht="14">
      <c r="A585"/>
      <c r="B585"/>
      <c r="C585"/>
      <c r="D585" s="155"/>
      <c r="E585" s="154"/>
      <c r="F585" s="154"/>
      <c r="G585" s="154"/>
      <c r="H585" s="154"/>
      <c r="I585" s="154"/>
      <c r="J585" s="154"/>
      <c r="K585" s="154"/>
      <c r="L585" s="154"/>
      <c r="M585" s="156"/>
      <c r="N585" s="157"/>
      <c r="O585" s="158"/>
      <c r="P585" s="159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</row>
    <row r="586" spans="1:50" s="10" customFormat="1" ht="14">
      <c r="A586"/>
      <c r="B586"/>
      <c r="C586"/>
      <c r="D586" s="155"/>
      <c r="E586" s="168"/>
      <c r="F586" s="169"/>
      <c r="G586" s="169"/>
      <c r="H586" s="169"/>
      <c r="I586" s="169"/>
      <c r="J586" s="169"/>
      <c r="K586" s="169"/>
      <c r="L586" s="163"/>
      <c r="M586" s="164"/>
      <c r="N586" s="165"/>
      <c r="O586" s="166"/>
      <c r="P586" s="167"/>
      <c r="Q586" s="167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</row>
    <row r="587" spans="1:50" s="10" customFormat="1" ht="14">
      <c r="A587"/>
      <c r="B587"/>
      <c r="C587"/>
      <c r="D587" s="155"/>
      <c r="E587" s="168" t="str">
        <f>RECAP!F38</f>
        <v xml:space="preserve">STOREFRONT / CURTAINWALL / GLASS &amp; GLAZING </v>
      </c>
      <c r="F587" s="168"/>
      <c r="G587" s="168"/>
      <c r="H587" s="168"/>
      <c r="I587" s="168"/>
      <c r="J587" s="168"/>
      <c r="K587" s="168"/>
      <c r="L587" s="163"/>
      <c r="M587" s="164"/>
      <c r="N587" s="165"/>
      <c r="O587" s="166"/>
      <c r="P587" s="167"/>
      <c r="Q587" s="16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</row>
    <row r="588" spans="1:50" s="10" customFormat="1" ht="14">
      <c r="A588"/>
      <c r="B588"/>
      <c r="C588"/>
      <c r="D588" s="155"/>
      <c r="E588" s="154"/>
      <c r="F588" s="154"/>
      <c r="G588" s="154"/>
      <c r="H588" s="154"/>
      <c r="I588" s="154"/>
      <c r="J588" s="154"/>
      <c r="K588" s="154"/>
      <c r="L588" s="154"/>
      <c r="M588" s="156"/>
      <c r="N588" s="157"/>
      <c r="O588" s="158"/>
      <c r="P588" s="159"/>
      <c r="Q588" s="160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</row>
    <row r="589" spans="1:50" s="10" customFormat="1" ht="14">
      <c r="A589"/>
      <c r="B589"/>
      <c r="C589"/>
      <c r="D589" s="170"/>
      <c r="E589" s="171"/>
      <c r="F589" s="172"/>
      <c r="G589" s="172" t="s">
        <v>13</v>
      </c>
      <c r="H589" s="172"/>
      <c r="I589" s="172"/>
      <c r="J589" s="172"/>
      <c r="K589" s="172"/>
      <c r="L589" s="173"/>
      <c r="M589" s="174" t="s">
        <v>23</v>
      </c>
      <c r="N589" s="175" t="s">
        <v>151</v>
      </c>
      <c r="O589" s="176" t="s">
        <v>152</v>
      </c>
      <c r="P589" s="177" t="s">
        <v>153</v>
      </c>
      <c r="Q589" s="416" t="s">
        <v>17</v>
      </c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</row>
    <row r="590" spans="1:50" s="10" customFormat="1" ht="14">
      <c r="A590"/>
      <c r="B590"/>
      <c r="C590"/>
      <c r="D590" s="155"/>
      <c r="E590" s="179"/>
      <c r="F590" s="180"/>
      <c r="G590" s="180"/>
      <c r="H590" s="180"/>
      <c r="I590" s="180"/>
      <c r="J590" s="180"/>
      <c r="K590" s="180"/>
      <c r="L590" s="181"/>
      <c r="M590" s="182"/>
      <c r="N590" s="183"/>
      <c r="O590" s="184"/>
      <c r="P590" s="185"/>
      <c r="Q590" s="417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</row>
    <row r="591" spans="1:50" s="10" customFormat="1" ht="14.5" thickBot="1">
      <c r="A591"/>
      <c r="B591"/>
      <c r="C591"/>
      <c r="D591" s="148"/>
      <c r="E591" s="186" t="s">
        <v>154</v>
      </c>
      <c r="F591" s="187"/>
      <c r="G591" s="187"/>
      <c r="H591" s="187"/>
      <c r="I591" s="187"/>
      <c r="J591" s="187"/>
      <c r="K591" s="187"/>
      <c r="L591" s="188"/>
      <c r="M591" s="189"/>
      <c r="N591" s="190"/>
      <c r="O591" s="220"/>
      <c r="P591" s="221">
        <f>M591*O591</f>
        <v>0</v>
      </c>
      <c r="Q591" s="42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</row>
    <row r="592" spans="1:50" s="10" customFormat="1" ht="14.5" thickTop="1">
      <c r="A592"/>
      <c r="B592"/>
      <c r="C592"/>
      <c r="D592" s="155"/>
      <c r="E592" s="196"/>
      <c r="F592" s="197"/>
      <c r="G592" s="197"/>
      <c r="H592" s="197"/>
      <c r="I592" s="197"/>
      <c r="J592" s="197"/>
      <c r="K592" s="197"/>
      <c r="L592" s="198"/>
      <c r="M592" s="199"/>
      <c r="N592" s="200"/>
      <c r="O592" s="246"/>
      <c r="P592" s="214">
        <f t="shared" ref="P592:P593" si="25">M592*O592</f>
        <v>0</v>
      </c>
      <c r="Q592" s="421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</row>
    <row r="593" spans="1:50" s="10" customFormat="1" ht="14">
      <c r="A593"/>
      <c r="B593"/>
      <c r="C593"/>
      <c r="D593" s="155"/>
      <c r="E593" s="196"/>
      <c r="F593" s="197"/>
      <c r="G593" s="197"/>
      <c r="H593" s="197"/>
      <c r="I593" s="274"/>
      <c r="J593" s="197"/>
      <c r="K593" s="197"/>
      <c r="L593" s="198"/>
      <c r="M593" s="199"/>
      <c r="N593" s="200"/>
      <c r="O593" s="222"/>
      <c r="P593" s="214">
        <f t="shared" si="25"/>
        <v>0</v>
      </c>
      <c r="Q593" s="421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</row>
    <row r="594" spans="1:50" s="10" customFormat="1" ht="14">
      <c r="A594"/>
      <c r="B594"/>
      <c r="C594"/>
      <c r="D594" s="155"/>
      <c r="E594" s="254" t="s">
        <v>415</v>
      </c>
      <c r="F594" s="274"/>
      <c r="G594" s="197"/>
      <c r="H594" s="197"/>
      <c r="I594" s="197"/>
      <c r="J594" s="197"/>
      <c r="K594" s="197"/>
      <c r="L594" s="198"/>
      <c r="M594" s="206"/>
      <c r="N594" s="200"/>
      <c r="O594" s="222"/>
      <c r="P594" s="226">
        <f>M594*O594</f>
        <v>0</v>
      </c>
      <c r="Q594" s="421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</row>
    <row r="595" spans="1:50" s="10" customFormat="1" ht="14">
      <c r="A595"/>
      <c r="B595"/>
      <c r="C595"/>
      <c r="D595" s="155"/>
      <c r="E595" s="203" t="s">
        <v>416</v>
      </c>
      <c r="F595" s="197"/>
      <c r="G595" s="197"/>
      <c r="H595" s="197"/>
      <c r="I595" s="197"/>
      <c r="J595" s="197"/>
      <c r="K595" s="197"/>
      <c r="L595" s="198"/>
      <c r="M595" s="199">
        <v>1060</v>
      </c>
      <c r="N595" s="200" t="s">
        <v>5</v>
      </c>
      <c r="O595" s="222">
        <v>120</v>
      </c>
      <c r="P595" s="214">
        <f t="shared" ref="P595:P607" si="26">M595*O595</f>
        <v>127200</v>
      </c>
      <c r="Q595" s="421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</row>
    <row r="596" spans="1:50" s="10" customFormat="1" ht="14">
      <c r="A596"/>
      <c r="B596"/>
      <c r="C596"/>
      <c r="D596" s="155"/>
      <c r="E596" s="268"/>
      <c r="F596" s="197"/>
      <c r="G596" s="205"/>
      <c r="H596" s="197"/>
      <c r="I596" s="197"/>
      <c r="J596" s="197"/>
      <c r="K596" s="197"/>
      <c r="L596" s="198"/>
      <c r="M596" s="199"/>
      <c r="N596" s="200"/>
      <c r="O596" s="222"/>
      <c r="P596" s="214">
        <f t="shared" si="26"/>
        <v>0</v>
      </c>
      <c r="Q596" s="421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</row>
    <row r="597" spans="1:50" s="10" customFormat="1" ht="14">
      <c r="A597"/>
      <c r="B597"/>
      <c r="C597"/>
      <c r="D597" s="155"/>
      <c r="E597" s="203" t="s">
        <v>417</v>
      </c>
      <c r="F597" s="197"/>
      <c r="G597" s="197"/>
      <c r="H597" s="197"/>
      <c r="I597" s="197"/>
      <c r="J597" s="197"/>
      <c r="K597" s="197"/>
      <c r="L597" s="198"/>
      <c r="M597" s="199">
        <f>233+1200</f>
        <v>1433</v>
      </c>
      <c r="N597" s="200" t="s">
        <v>5</v>
      </c>
      <c r="O597" s="222">
        <v>85</v>
      </c>
      <c r="P597" s="214">
        <f t="shared" si="26"/>
        <v>121805</v>
      </c>
      <c r="Q597" s="421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</row>
    <row r="598" spans="1:50" s="10" customFormat="1" ht="14">
      <c r="A598"/>
      <c r="B598"/>
      <c r="C598"/>
      <c r="D598" s="155"/>
      <c r="E598" s="203" t="s">
        <v>418</v>
      </c>
      <c r="F598" s="197"/>
      <c r="G598" s="197"/>
      <c r="H598" s="197"/>
      <c r="I598" s="197"/>
      <c r="J598" s="197"/>
      <c r="K598" s="197"/>
      <c r="L598" s="198"/>
      <c r="M598" s="199">
        <f>95*12</f>
        <v>1140</v>
      </c>
      <c r="N598" s="200" t="s">
        <v>5</v>
      </c>
      <c r="O598" s="222">
        <v>60</v>
      </c>
      <c r="P598" s="214">
        <f t="shared" si="26"/>
        <v>68400</v>
      </c>
      <c r="Q598" s="421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</row>
    <row r="599" spans="1:50" s="10" customFormat="1" ht="14">
      <c r="A599"/>
      <c r="B599"/>
      <c r="C599"/>
      <c r="D599" s="155"/>
      <c r="E599" s="203" t="s">
        <v>761</v>
      </c>
      <c r="F599" s="197"/>
      <c r="G599" s="197"/>
      <c r="H599" s="197"/>
      <c r="I599" s="197"/>
      <c r="J599" s="197"/>
      <c r="K599" s="197"/>
      <c r="L599" s="198"/>
      <c r="M599" s="199">
        <v>2</v>
      </c>
      <c r="N599" s="200" t="s">
        <v>162</v>
      </c>
      <c r="O599" s="222">
        <v>5500</v>
      </c>
      <c r="P599" s="214">
        <f t="shared" si="26"/>
        <v>11000</v>
      </c>
      <c r="Q599" s="421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</row>
    <row r="600" spans="1:50" s="10" customFormat="1" ht="14">
      <c r="A600"/>
      <c r="B600"/>
      <c r="C600"/>
      <c r="D600" s="155"/>
      <c r="E600" s="203" t="s">
        <v>678</v>
      </c>
      <c r="F600" s="197"/>
      <c r="G600" s="205"/>
      <c r="H600" s="197"/>
      <c r="I600" s="197"/>
      <c r="J600" s="197"/>
      <c r="K600" s="197"/>
      <c r="L600" s="198"/>
      <c r="M600" s="199">
        <v>26</v>
      </c>
      <c r="N600" s="200" t="s">
        <v>162</v>
      </c>
      <c r="O600" s="222">
        <v>350</v>
      </c>
      <c r="P600" s="214">
        <f t="shared" si="26"/>
        <v>9100</v>
      </c>
      <c r="Q600" s="421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</row>
    <row r="601" spans="1:50" s="10" customFormat="1" ht="14">
      <c r="A601"/>
      <c r="B601"/>
      <c r="C601"/>
      <c r="D601" s="155"/>
      <c r="E601" s="203" t="s">
        <v>766</v>
      </c>
      <c r="F601" s="197"/>
      <c r="G601" s="205"/>
      <c r="H601" s="197"/>
      <c r="I601" s="197"/>
      <c r="J601" s="197"/>
      <c r="K601" s="197"/>
      <c r="L601" s="198"/>
      <c r="M601" s="199">
        <f>70*8</f>
        <v>560</v>
      </c>
      <c r="N601" s="200" t="s">
        <v>5</v>
      </c>
      <c r="O601" s="222">
        <v>30</v>
      </c>
      <c r="P601" s="214">
        <f t="shared" si="26"/>
        <v>16800</v>
      </c>
      <c r="Q601" s="42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</row>
    <row r="602" spans="1:50" s="10" customFormat="1" ht="14">
      <c r="A602"/>
      <c r="B602"/>
      <c r="C602"/>
      <c r="D602" s="155"/>
      <c r="E602" s="203" t="s">
        <v>419</v>
      </c>
      <c r="F602" s="197"/>
      <c r="G602" s="197"/>
      <c r="H602" s="197"/>
      <c r="I602" s="197"/>
      <c r="J602" s="197"/>
      <c r="K602" s="197"/>
      <c r="L602" s="198"/>
      <c r="M602" s="199"/>
      <c r="N602" s="200" t="s">
        <v>162</v>
      </c>
      <c r="O602" s="222">
        <v>2800</v>
      </c>
      <c r="P602" s="214">
        <f t="shared" si="26"/>
        <v>0</v>
      </c>
      <c r="Q602" s="421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</row>
    <row r="603" spans="1:50" s="10" customFormat="1" ht="14">
      <c r="A603"/>
      <c r="B603"/>
      <c r="C603"/>
      <c r="D603" s="155"/>
      <c r="E603" s="203" t="s">
        <v>679</v>
      </c>
      <c r="F603" s="197"/>
      <c r="G603" s="197"/>
      <c r="H603" s="197"/>
      <c r="I603" s="197"/>
      <c r="J603" s="197"/>
      <c r="K603" s="197"/>
      <c r="L603" s="198"/>
      <c r="M603" s="199">
        <v>18</v>
      </c>
      <c r="N603" s="200" t="s">
        <v>162</v>
      </c>
      <c r="O603" s="222">
        <v>4500</v>
      </c>
      <c r="P603" s="214">
        <f t="shared" si="26"/>
        <v>81000</v>
      </c>
      <c r="Q603" s="421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</row>
    <row r="604" spans="1:50" s="10" customFormat="1" ht="14">
      <c r="A604"/>
      <c r="B604"/>
      <c r="C604"/>
      <c r="D604" s="155"/>
      <c r="E604" s="203"/>
      <c r="F604" s="197"/>
      <c r="G604" s="197"/>
      <c r="H604" s="197"/>
      <c r="I604" s="197"/>
      <c r="J604" s="197"/>
      <c r="K604" s="197"/>
      <c r="L604" s="198"/>
      <c r="M604" s="199"/>
      <c r="N604" s="200"/>
      <c r="O604" s="222"/>
      <c r="P604" s="214">
        <f t="shared" si="26"/>
        <v>0</v>
      </c>
      <c r="Q604" s="421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</row>
    <row r="605" spans="1:50" s="10" customFormat="1" ht="14">
      <c r="A605"/>
      <c r="B605"/>
      <c r="C605"/>
      <c r="D605" s="155"/>
      <c r="E605" s="196"/>
      <c r="F605" s="197"/>
      <c r="G605" s="197"/>
      <c r="H605" s="197" t="s">
        <v>420</v>
      </c>
      <c r="I605" s="197"/>
      <c r="J605" s="197"/>
      <c r="K605" s="197"/>
      <c r="L605" s="198"/>
      <c r="M605" s="199">
        <f>M595+M597+M598</f>
        <v>3633</v>
      </c>
      <c r="N605" s="200" t="s">
        <v>5</v>
      </c>
      <c r="O605" s="222"/>
      <c r="P605" s="214">
        <f t="shared" si="26"/>
        <v>0</v>
      </c>
      <c r="Q605" s="421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</row>
    <row r="606" spans="1:50" s="10" customFormat="1" ht="14">
      <c r="A606"/>
      <c r="B606"/>
      <c r="C606"/>
      <c r="D606" s="155"/>
      <c r="E606" s="203"/>
      <c r="F606" s="197"/>
      <c r="G606" s="197"/>
      <c r="H606" s="197"/>
      <c r="I606" s="197"/>
      <c r="J606" s="197"/>
      <c r="K606" s="197"/>
      <c r="L606" s="198"/>
      <c r="M606" s="206"/>
      <c r="N606" s="200"/>
      <c r="O606" s="222"/>
      <c r="P606" s="214">
        <f t="shared" si="26"/>
        <v>0</v>
      </c>
      <c r="Q606" s="421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</row>
    <row r="607" spans="1:50" s="10" customFormat="1" ht="14">
      <c r="A607"/>
      <c r="B607"/>
      <c r="C607"/>
      <c r="D607" s="155"/>
      <c r="E607" s="196"/>
      <c r="F607" s="197"/>
      <c r="G607" s="197"/>
      <c r="H607" s="197"/>
      <c r="I607" s="197"/>
      <c r="J607" s="197"/>
      <c r="K607" s="197"/>
      <c r="L607" s="198"/>
      <c r="M607" s="199"/>
      <c r="N607" s="200"/>
      <c r="O607" s="246"/>
      <c r="P607" s="214">
        <f t="shared" si="26"/>
        <v>0</v>
      </c>
      <c r="Q607" s="421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</row>
    <row r="608" spans="1:50" s="10" customFormat="1" ht="14">
      <c r="A608"/>
      <c r="B608"/>
      <c r="C608"/>
      <c r="D608" s="155"/>
      <c r="E608" s="179"/>
      <c r="F608" s="180"/>
      <c r="G608" s="180"/>
      <c r="H608" s="180"/>
      <c r="I608" s="180"/>
      <c r="J608" s="180"/>
      <c r="K608" s="180"/>
      <c r="L608" s="181"/>
      <c r="M608" s="182"/>
      <c r="N608" s="183"/>
      <c r="O608" s="184"/>
      <c r="P608" s="185"/>
      <c r="Q608" s="185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</row>
    <row r="609" spans="1:50" s="10" customFormat="1" ht="14">
      <c r="A609"/>
      <c r="B609"/>
      <c r="C609"/>
      <c r="D609" s="148"/>
      <c r="E609" s="202"/>
      <c r="F609" s="241"/>
      <c r="G609" s="241"/>
      <c r="H609" s="241"/>
      <c r="I609" s="241"/>
      <c r="J609" s="241"/>
      <c r="K609" s="241"/>
      <c r="L609" s="242"/>
      <c r="M609" s="243"/>
      <c r="N609" s="244"/>
      <c r="O609" s="245"/>
      <c r="P609" s="214">
        <f>SUM(P590:P608)</f>
        <v>435305</v>
      </c>
      <c r="Q609" s="421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</row>
    <row r="610" spans="1:50" s="10" customFormat="1" ht="14">
      <c r="A610"/>
      <c r="B610"/>
      <c r="C610"/>
      <c r="D610" s="155"/>
      <c r="E610" s="154"/>
      <c r="F610" s="154"/>
      <c r="G610" s="154"/>
      <c r="H610" s="154"/>
      <c r="I610" s="154"/>
      <c r="J610" s="154"/>
      <c r="K610" s="154"/>
      <c r="L610" s="154"/>
      <c r="M610" s="156"/>
      <c r="N610" s="157"/>
      <c r="O610" s="158"/>
      <c r="P610" s="159"/>
      <c r="Q610" s="134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</row>
    <row r="611" spans="1:50" s="10" customFormat="1" ht="14.5">
      <c r="A611" s="6"/>
      <c r="B611" s="6"/>
      <c r="C611" s="6"/>
      <c r="D611" s="148"/>
      <c r="E611" s="147"/>
      <c r="F611" s="147" t="s">
        <v>82</v>
      </c>
      <c r="G611" s="147"/>
      <c r="H611" s="147"/>
      <c r="I611" s="147"/>
      <c r="J611" s="147"/>
      <c r="K611" s="147"/>
      <c r="L611" s="147"/>
      <c r="M611" s="149"/>
      <c r="N611" s="150"/>
      <c r="O611" s="151"/>
      <c r="P611" s="152"/>
      <c r="Q611" s="153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</row>
    <row r="612" spans="1:50" s="10" customFormat="1" ht="14">
      <c r="A612"/>
      <c r="B612"/>
      <c r="C612"/>
      <c r="D612" s="155"/>
      <c r="E612" s="154"/>
      <c r="F612" s="154"/>
      <c r="G612" s="154"/>
      <c r="H612" s="154"/>
      <c r="I612" s="154"/>
      <c r="J612" s="154"/>
      <c r="K612" s="154"/>
      <c r="L612" s="154"/>
      <c r="M612" s="156"/>
      <c r="N612" s="157"/>
      <c r="O612" s="158"/>
      <c r="P612" s="159"/>
      <c r="Q612" s="160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</row>
    <row r="613" spans="1:50" s="10" customFormat="1" ht="14">
      <c r="A613"/>
      <c r="B613"/>
      <c r="C613"/>
      <c r="D613" s="155"/>
      <c r="E613" s="168"/>
      <c r="F613" s="169"/>
      <c r="G613" s="169"/>
      <c r="H613" s="169"/>
      <c r="I613" s="169"/>
      <c r="J613" s="169"/>
      <c r="K613" s="169"/>
      <c r="L613" s="163"/>
      <c r="M613" s="164"/>
      <c r="N613" s="165"/>
      <c r="O613" s="166"/>
      <c r="P613" s="167"/>
      <c r="Q613" s="167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</row>
    <row r="614" spans="1:50" s="10" customFormat="1" ht="14">
      <c r="A614"/>
      <c r="B614"/>
      <c r="C614"/>
      <c r="D614" s="155"/>
      <c r="E614" s="168" t="str">
        <f>RECAP!F40</f>
        <v xml:space="preserve">DRYWALL / ACOUSTICAL </v>
      </c>
      <c r="F614" s="168"/>
      <c r="G614" s="168"/>
      <c r="H614" s="168"/>
      <c r="I614" s="168"/>
      <c r="J614" s="168"/>
      <c r="K614" s="168"/>
      <c r="L614" s="163"/>
      <c r="M614" s="164"/>
      <c r="N614" s="165"/>
      <c r="O614" s="166"/>
      <c r="P614" s="167"/>
      <c r="Q614" s="167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</row>
    <row r="615" spans="1:50" s="10" customFormat="1" ht="14">
      <c r="A615"/>
      <c r="B615"/>
      <c r="C615"/>
      <c r="D615" s="155"/>
      <c r="E615" s="154"/>
      <c r="F615" s="154"/>
      <c r="G615" s="154"/>
      <c r="H615" s="154"/>
      <c r="I615" s="154"/>
      <c r="J615" s="154"/>
      <c r="K615" s="154"/>
      <c r="L615" s="154"/>
      <c r="M615" s="156"/>
      <c r="N615" s="157"/>
      <c r="O615" s="158"/>
      <c r="P615" s="159"/>
      <c r="Q615" s="178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</row>
    <row r="616" spans="1:50" s="10" customFormat="1" ht="14">
      <c r="A616"/>
      <c r="B616"/>
      <c r="C616"/>
      <c r="D616" s="170"/>
      <c r="E616" s="171"/>
      <c r="F616" s="172"/>
      <c r="G616" s="172" t="s">
        <v>13</v>
      </c>
      <c r="H616" s="172"/>
      <c r="I616" s="172"/>
      <c r="J616" s="172"/>
      <c r="K616" s="172"/>
      <c r="L616" s="173"/>
      <c r="M616" s="174" t="s">
        <v>23</v>
      </c>
      <c r="N616" s="175" t="s">
        <v>151</v>
      </c>
      <c r="O616" s="176" t="s">
        <v>152</v>
      </c>
      <c r="P616" s="177" t="s">
        <v>153</v>
      </c>
      <c r="Q616" s="416" t="s">
        <v>17</v>
      </c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</row>
    <row r="617" spans="1:50" s="10" customFormat="1" ht="14">
      <c r="A617"/>
      <c r="B617"/>
      <c r="C617"/>
      <c r="D617" s="155"/>
      <c r="E617" s="179"/>
      <c r="F617" s="180"/>
      <c r="G617" s="180"/>
      <c r="H617" s="180"/>
      <c r="I617" s="180"/>
      <c r="J617" s="180"/>
      <c r="K617" s="180"/>
      <c r="L617" s="181"/>
      <c r="M617" s="182"/>
      <c r="N617" s="183"/>
      <c r="O617" s="184"/>
      <c r="P617" s="185"/>
      <c r="Q617" s="4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</row>
    <row r="618" spans="1:50" s="10" customFormat="1" ht="14.5" thickBot="1">
      <c r="A618"/>
      <c r="B618"/>
      <c r="C618"/>
      <c r="D618" s="148"/>
      <c r="E618" s="186" t="s">
        <v>154</v>
      </c>
      <c r="F618" s="187"/>
      <c r="G618" s="187"/>
      <c r="H618" s="187"/>
      <c r="I618" s="187"/>
      <c r="J618" s="187"/>
      <c r="K618" s="187"/>
      <c r="L618" s="188"/>
      <c r="M618" s="189"/>
      <c r="N618" s="190"/>
      <c r="O618" s="220"/>
      <c r="P618" s="221">
        <f>M618*O618</f>
        <v>0</v>
      </c>
      <c r="Q618" s="421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</row>
    <row r="619" spans="1:50" s="10" customFormat="1" ht="14.5" thickTop="1">
      <c r="A619"/>
      <c r="B619"/>
      <c r="C619"/>
      <c r="D619" s="155"/>
      <c r="E619" s="191"/>
      <c r="F619" s="192"/>
      <c r="G619" s="192"/>
      <c r="H619" s="192"/>
      <c r="I619" s="192"/>
      <c r="J619" s="192"/>
      <c r="K619" s="192"/>
      <c r="L619" s="193"/>
      <c r="M619" s="194"/>
      <c r="N619" s="195"/>
      <c r="O619" s="253"/>
      <c r="P619" s="226">
        <f>M619*O619</f>
        <v>0</v>
      </c>
      <c r="Q619" s="421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</row>
    <row r="620" spans="1:50" s="10" customFormat="1" ht="14">
      <c r="A620"/>
      <c r="B620"/>
      <c r="C620"/>
      <c r="D620" s="155"/>
      <c r="E620" s="217" t="s">
        <v>127</v>
      </c>
      <c r="F620" s="197"/>
      <c r="G620" s="197"/>
      <c r="H620" s="197"/>
      <c r="I620" s="197"/>
      <c r="J620" s="197"/>
      <c r="K620" s="197"/>
      <c r="L620" s="219"/>
      <c r="M620" s="206"/>
      <c r="N620" s="200"/>
      <c r="O620" s="222"/>
      <c r="P620" s="214">
        <f t="shared" ref="P620:P633" si="27">M620*O620</f>
        <v>0</v>
      </c>
      <c r="Q620" s="421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</row>
    <row r="621" spans="1:50" s="10" customFormat="1" ht="14">
      <c r="A621"/>
      <c r="B621"/>
      <c r="C621"/>
      <c r="D621" s="155"/>
      <c r="E621" s="203" t="s">
        <v>421</v>
      </c>
      <c r="F621" s="197"/>
      <c r="G621" s="197"/>
      <c r="H621" s="197"/>
      <c r="I621" s="197"/>
      <c r="J621" s="197"/>
      <c r="K621" s="197"/>
      <c r="L621" s="198"/>
      <c r="M621" s="199">
        <f>570*25</f>
        <v>14250</v>
      </c>
      <c r="N621" s="200" t="s">
        <v>422</v>
      </c>
      <c r="O621" s="222">
        <v>16</v>
      </c>
      <c r="P621" s="214">
        <f t="shared" si="27"/>
        <v>228000</v>
      </c>
      <c r="Q621" s="4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</row>
    <row r="622" spans="1:50" s="10" customFormat="1" ht="14">
      <c r="A622"/>
      <c r="B622"/>
      <c r="C622"/>
      <c r="D622" s="155"/>
      <c r="E622" s="203" t="s">
        <v>674</v>
      </c>
      <c r="F622" s="197"/>
      <c r="G622" s="197"/>
      <c r="H622" s="197"/>
      <c r="I622" s="197"/>
      <c r="J622" s="197"/>
      <c r="K622" s="197"/>
      <c r="L622" s="198"/>
      <c r="M622" s="199">
        <f>M488+M511+894</f>
        <v>1654</v>
      </c>
      <c r="N622" s="200" t="s">
        <v>422</v>
      </c>
      <c r="O622" s="222">
        <v>10</v>
      </c>
      <c r="P622" s="214">
        <f t="shared" si="27"/>
        <v>16540</v>
      </c>
      <c r="Q622" s="421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</row>
    <row r="623" spans="1:50" s="10" customFormat="1" ht="14">
      <c r="A623"/>
      <c r="B623"/>
      <c r="C623"/>
      <c r="D623" s="155"/>
      <c r="E623" s="203" t="s">
        <v>423</v>
      </c>
      <c r="F623" s="197"/>
      <c r="G623" s="197"/>
      <c r="H623" s="197"/>
      <c r="I623" s="197"/>
      <c r="J623" s="197"/>
      <c r="K623" s="197"/>
      <c r="L623" s="198"/>
      <c r="M623" s="199">
        <f>(4005)*15</f>
        <v>60075</v>
      </c>
      <c r="N623" s="200" t="s">
        <v>422</v>
      </c>
      <c r="O623" s="222">
        <v>10</v>
      </c>
      <c r="P623" s="214">
        <f t="shared" si="27"/>
        <v>600750</v>
      </c>
      <c r="Q623" s="421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</row>
    <row r="624" spans="1:50" s="10" customFormat="1" ht="14">
      <c r="A624"/>
      <c r="B624"/>
      <c r="C624"/>
      <c r="D624" s="155"/>
      <c r="E624" s="203" t="s">
        <v>823</v>
      </c>
      <c r="F624" s="197"/>
      <c r="G624" s="197"/>
      <c r="H624" s="197"/>
      <c r="I624" s="197"/>
      <c r="J624" s="197"/>
      <c r="K624" s="197"/>
      <c r="L624" s="198"/>
      <c r="M624" s="199">
        <v>1</v>
      </c>
      <c r="N624" s="200" t="s">
        <v>164</v>
      </c>
      <c r="O624" s="222">
        <v>30000</v>
      </c>
      <c r="P624" s="214">
        <f t="shared" si="27"/>
        <v>30000</v>
      </c>
      <c r="Q624" s="421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</row>
    <row r="625" spans="1:50" s="10" customFormat="1" ht="14">
      <c r="A625"/>
      <c r="B625"/>
      <c r="C625"/>
      <c r="D625" s="155"/>
      <c r="E625" s="203" t="s">
        <v>824</v>
      </c>
      <c r="F625" s="197"/>
      <c r="G625" s="197"/>
      <c r="H625" s="197"/>
      <c r="I625" s="197"/>
      <c r="J625" s="197"/>
      <c r="K625" s="197"/>
      <c r="L625" s="198"/>
      <c r="M625" s="199">
        <f>M364+M366</f>
        <v>16412</v>
      </c>
      <c r="N625" s="200" t="s">
        <v>5</v>
      </c>
      <c r="O625" s="222">
        <v>5</v>
      </c>
      <c r="P625" s="214">
        <f t="shared" si="27"/>
        <v>82060</v>
      </c>
      <c r="Q625" s="421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</row>
    <row r="626" spans="1:50" s="10" customFormat="1" ht="14">
      <c r="A626"/>
      <c r="B626"/>
      <c r="C626"/>
      <c r="D626" s="155"/>
      <c r="E626" s="203" t="s">
        <v>834</v>
      </c>
      <c r="F626" s="197"/>
      <c r="G626" s="197"/>
      <c r="H626" s="197"/>
      <c r="I626" s="197"/>
      <c r="J626" s="197"/>
      <c r="K626" s="197"/>
      <c r="L626" s="198"/>
      <c r="M626" s="206">
        <f>942*4</f>
        <v>3768</v>
      </c>
      <c r="N626" s="200" t="s">
        <v>5</v>
      </c>
      <c r="O626" s="222">
        <v>4</v>
      </c>
      <c r="P626" s="214">
        <f t="shared" si="27"/>
        <v>15072</v>
      </c>
      <c r="Q626" s="421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</row>
    <row r="627" spans="1:50" s="10" customFormat="1" ht="14">
      <c r="A627"/>
      <c r="B627"/>
      <c r="C627"/>
      <c r="D627" s="155"/>
      <c r="E627" s="268"/>
      <c r="F627" s="197"/>
      <c r="G627" s="197"/>
      <c r="H627" s="197"/>
      <c r="I627" s="197"/>
      <c r="J627" s="197"/>
      <c r="K627" s="197"/>
      <c r="L627" s="198"/>
      <c r="M627" s="206"/>
      <c r="N627" s="200"/>
      <c r="O627" s="222"/>
      <c r="P627" s="214">
        <f t="shared" si="27"/>
        <v>0</v>
      </c>
      <c r="Q627" s="421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</row>
    <row r="628" spans="1:50" s="10" customFormat="1" ht="14">
      <c r="A628"/>
      <c r="B628"/>
      <c r="C628"/>
      <c r="D628" s="155"/>
      <c r="E628" s="217" t="s">
        <v>190</v>
      </c>
      <c r="F628" s="197"/>
      <c r="G628" s="197"/>
      <c r="H628" s="197"/>
      <c r="I628" s="197"/>
      <c r="J628" s="197"/>
      <c r="K628" s="197"/>
      <c r="L628" s="198"/>
      <c r="M628" s="206"/>
      <c r="N628" s="200"/>
      <c r="O628" s="222"/>
      <c r="P628" s="214">
        <f t="shared" si="27"/>
        <v>0</v>
      </c>
      <c r="Q628" s="421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</row>
    <row r="629" spans="1:50" s="10" customFormat="1" ht="14">
      <c r="A629"/>
      <c r="B629"/>
      <c r="C629"/>
      <c r="D629" s="155"/>
      <c r="E629" s="203" t="s">
        <v>424</v>
      </c>
      <c r="F629" s="197"/>
      <c r="G629" s="197"/>
      <c r="H629" s="197"/>
      <c r="I629" s="197"/>
      <c r="J629" s="197"/>
      <c r="K629" s="197"/>
      <c r="L629" s="198"/>
      <c r="M629" s="199">
        <f>M650+2051</f>
        <v>4891</v>
      </c>
      <c r="N629" s="200" t="s">
        <v>5</v>
      </c>
      <c r="O629" s="222">
        <v>10</v>
      </c>
      <c r="P629" s="214">
        <f t="shared" si="27"/>
        <v>48910</v>
      </c>
      <c r="Q629" s="421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</row>
    <row r="630" spans="1:50" s="10" customFormat="1" ht="14">
      <c r="A630"/>
      <c r="B630"/>
      <c r="C630"/>
      <c r="D630" s="155"/>
      <c r="E630" s="203" t="s">
        <v>630</v>
      </c>
      <c r="F630" s="197"/>
      <c r="G630" s="197"/>
      <c r="H630" s="197"/>
      <c r="I630" s="197"/>
      <c r="J630" s="197"/>
      <c r="K630" s="197"/>
      <c r="L630" s="198"/>
      <c r="M630" s="199">
        <v>32399</v>
      </c>
      <c r="N630" s="200" t="s">
        <v>5</v>
      </c>
      <c r="O630" s="222">
        <v>6</v>
      </c>
      <c r="P630" s="214">
        <f t="shared" si="27"/>
        <v>194394</v>
      </c>
      <c r="Q630" s="421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</row>
    <row r="631" spans="1:50" s="10" customFormat="1" ht="14">
      <c r="A631"/>
      <c r="B631"/>
      <c r="C631"/>
      <c r="D631" s="155"/>
      <c r="E631" s="203" t="s">
        <v>625</v>
      </c>
      <c r="F631" s="197"/>
      <c r="G631" s="197"/>
      <c r="H631" s="197"/>
      <c r="I631" s="197"/>
      <c r="J631" s="197"/>
      <c r="K631" s="197"/>
      <c r="L631" s="198"/>
      <c r="M631" s="199">
        <v>1500</v>
      </c>
      <c r="N631" s="200" t="s">
        <v>5</v>
      </c>
      <c r="O631" s="222">
        <v>40</v>
      </c>
      <c r="P631" s="214">
        <f t="shared" si="27"/>
        <v>60000</v>
      </c>
      <c r="Q631" s="42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</row>
    <row r="632" spans="1:50" s="10" customFormat="1" ht="14">
      <c r="A632"/>
      <c r="B632"/>
      <c r="C632"/>
      <c r="D632" s="155"/>
      <c r="E632" s="268"/>
      <c r="F632" s="197"/>
      <c r="G632" s="197"/>
      <c r="H632" s="197"/>
      <c r="I632" s="197"/>
      <c r="J632" s="197"/>
      <c r="K632" s="197"/>
      <c r="L632" s="198"/>
      <c r="M632" s="206"/>
      <c r="N632" s="200"/>
      <c r="O632" s="222"/>
      <c r="P632" s="214">
        <f t="shared" si="27"/>
        <v>0</v>
      </c>
      <c r="Q632" s="421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</row>
    <row r="633" spans="1:50" s="10" customFormat="1" ht="14">
      <c r="A633"/>
      <c r="B633"/>
      <c r="C633"/>
      <c r="D633" s="155"/>
      <c r="E633" s="217" t="s">
        <v>12</v>
      </c>
      <c r="F633" s="197"/>
      <c r="G633" s="197"/>
      <c r="H633" s="197"/>
      <c r="I633" s="197"/>
      <c r="J633" s="197"/>
      <c r="K633" s="197"/>
      <c r="L633" s="198"/>
      <c r="M633" s="206"/>
      <c r="N633" s="200"/>
      <c r="O633" s="222"/>
      <c r="P633" s="214">
        <f t="shared" si="27"/>
        <v>0</v>
      </c>
      <c r="Q633" s="421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</row>
    <row r="634" spans="1:50" s="10" customFormat="1" ht="14">
      <c r="A634"/>
      <c r="B634"/>
      <c r="C634"/>
      <c r="D634" s="155"/>
      <c r="E634" s="203" t="s">
        <v>656</v>
      </c>
      <c r="F634" s="197"/>
      <c r="G634" s="197"/>
      <c r="H634" s="197"/>
      <c r="I634" s="197"/>
      <c r="J634" s="197"/>
      <c r="K634" s="197"/>
      <c r="L634" s="198"/>
      <c r="M634" s="199">
        <f>250*4</f>
        <v>1000</v>
      </c>
      <c r="N634" s="200" t="s">
        <v>5</v>
      </c>
      <c r="O634" s="222">
        <v>12</v>
      </c>
      <c r="P634" s="214">
        <f>M634*O634</f>
        <v>12000</v>
      </c>
      <c r="Q634" s="421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</row>
    <row r="635" spans="1:50" s="10" customFormat="1" ht="14">
      <c r="A635"/>
      <c r="B635"/>
      <c r="C635"/>
      <c r="D635" s="155"/>
      <c r="E635" s="218"/>
      <c r="F635" s="197"/>
      <c r="G635" s="197"/>
      <c r="H635" s="197"/>
      <c r="I635" s="197"/>
      <c r="J635" s="197"/>
      <c r="K635" s="197"/>
      <c r="L635" s="198"/>
      <c r="M635" s="206"/>
      <c r="N635" s="200"/>
      <c r="O635" s="222"/>
      <c r="P635" s="214">
        <f t="shared" ref="P635" si="28">M635*O635</f>
        <v>0</v>
      </c>
      <c r="Q635" s="421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</row>
    <row r="636" spans="1:50" s="10" customFormat="1" ht="14">
      <c r="A636"/>
      <c r="B636"/>
      <c r="C636"/>
      <c r="D636" s="155"/>
      <c r="E636" s="196"/>
      <c r="F636" s="197"/>
      <c r="G636" s="197"/>
      <c r="H636" s="197"/>
      <c r="I636" s="197"/>
      <c r="J636" s="197"/>
      <c r="K636" s="197"/>
      <c r="L636" s="198"/>
      <c r="M636" s="199"/>
      <c r="N636" s="200"/>
      <c r="O636" s="246"/>
      <c r="P636" s="214">
        <f>M636*O636</f>
        <v>0</v>
      </c>
      <c r="Q636" s="421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</row>
    <row r="637" spans="1:50" s="10" customFormat="1" ht="14">
      <c r="A637"/>
      <c r="B637"/>
      <c r="C637"/>
      <c r="D637" s="155"/>
      <c r="E637" s="179"/>
      <c r="F637" s="180"/>
      <c r="G637" s="180"/>
      <c r="H637" s="180"/>
      <c r="I637" s="180"/>
      <c r="J637" s="180"/>
      <c r="K637" s="180"/>
      <c r="L637" s="181"/>
      <c r="M637" s="182"/>
      <c r="N637" s="183"/>
      <c r="O637" s="184"/>
      <c r="P637" s="185"/>
      <c r="Q637" s="185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</row>
    <row r="638" spans="1:50" s="10" customFormat="1" ht="14">
      <c r="A638"/>
      <c r="B638"/>
      <c r="C638"/>
      <c r="D638" s="155"/>
      <c r="E638" s="196"/>
      <c r="F638" s="197"/>
      <c r="G638" s="197"/>
      <c r="H638" s="197"/>
      <c r="I638" s="197"/>
      <c r="J638" s="197"/>
      <c r="K638" s="197"/>
      <c r="L638" s="198"/>
      <c r="M638" s="199"/>
      <c r="N638" s="200"/>
      <c r="O638" s="246"/>
      <c r="P638" s="214">
        <f>SUM(P617:P637)</f>
        <v>1287726</v>
      </c>
      <c r="Q638" s="421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</row>
    <row r="639" spans="1:50" s="10" customFormat="1" ht="14">
      <c r="A639"/>
      <c r="B639"/>
      <c r="C639"/>
      <c r="D639" s="155"/>
      <c r="E639" s="154"/>
      <c r="F639" s="154"/>
      <c r="G639" s="154"/>
      <c r="H639" s="154"/>
      <c r="I639" s="154"/>
      <c r="J639" s="154"/>
      <c r="K639" s="154"/>
      <c r="L639" s="154"/>
      <c r="M639" s="156"/>
      <c r="N639" s="157"/>
      <c r="O639" s="158"/>
      <c r="P639" s="159"/>
      <c r="Q639" s="160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</row>
    <row r="640" spans="1:50" s="10" customFormat="1" ht="14">
      <c r="A640"/>
      <c r="B640"/>
      <c r="C640"/>
      <c r="D640" s="155"/>
      <c r="E640" s="168"/>
      <c r="F640" s="169"/>
      <c r="G640" s="169"/>
      <c r="H640" s="169"/>
      <c r="I640" s="169"/>
      <c r="J640" s="169"/>
      <c r="K640" s="169"/>
      <c r="L640" s="163"/>
      <c r="M640" s="164"/>
      <c r="N640" s="165"/>
      <c r="O640" s="166"/>
      <c r="P640" s="167"/>
      <c r="Q640" s="167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</row>
    <row r="641" spans="1:50" s="10" customFormat="1" ht="14">
      <c r="A641"/>
      <c r="B641"/>
      <c r="C641"/>
      <c r="D641" s="155"/>
      <c r="E641" s="168" t="str">
        <f>RECAP!F41</f>
        <v>FLOORING</v>
      </c>
      <c r="F641" s="168"/>
      <c r="G641" s="168"/>
      <c r="H641" s="168"/>
      <c r="I641" s="168"/>
      <c r="J641" s="168"/>
      <c r="K641" s="168"/>
      <c r="L641" s="163"/>
      <c r="M641" s="164"/>
      <c r="N641" s="165"/>
      <c r="O641" s="166"/>
      <c r="P641" s="167"/>
      <c r="Q641" s="167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</row>
    <row r="642" spans="1:50" s="10" customFormat="1" ht="14">
      <c r="A642"/>
      <c r="B642"/>
      <c r="C642"/>
      <c r="D642" s="155"/>
      <c r="E642" s="154"/>
      <c r="F642" s="154"/>
      <c r="G642" s="154"/>
      <c r="H642" s="154"/>
      <c r="I642" s="154"/>
      <c r="J642" s="154"/>
      <c r="K642" s="154"/>
      <c r="L642" s="154"/>
      <c r="M642" s="156"/>
      <c r="N642" s="157"/>
      <c r="O642" s="158"/>
      <c r="P642" s="159"/>
      <c r="Q642" s="178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</row>
    <row r="643" spans="1:50" s="10" customFormat="1" ht="14">
      <c r="A643"/>
      <c r="B643"/>
      <c r="C643"/>
      <c r="D643" s="170"/>
      <c r="E643" s="171"/>
      <c r="F643" s="172"/>
      <c r="G643" s="172" t="s">
        <v>13</v>
      </c>
      <c r="H643" s="172"/>
      <c r="I643" s="172"/>
      <c r="J643" s="172"/>
      <c r="K643" s="172"/>
      <c r="L643" s="173"/>
      <c r="M643" s="174" t="s">
        <v>23</v>
      </c>
      <c r="N643" s="175" t="s">
        <v>151</v>
      </c>
      <c r="O643" s="176" t="s">
        <v>152</v>
      </c>
      <c r="P643" s="177" t="s">
        <v>153</v>
      </c>
      <c r="Q643" s="416" t="s">
        <v>17</v>
      </c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</row>
    <row r="644" spans="1:50" s="10" customFormat="1" ht="14">
      <c r="A644"/>
      <c r="B644"/>
      <c r="C644"/>
      <c r="D644" s="155"/>
      <c r="E644" s="179"/>
      <c r="F644" s="180"/>
      <c r="G644" s="180"/>
      <c r="H644" s="180"/>
      <c r="I644" s="180"/>
      <c r="J644" s="180"/>
      <c r="K644" s="180"/>
      <c r="L644" s="181"/>
      <c r="M644" s="182"/>
      <c r="N644" s="183"/>
      <c r="O644" s="184"/>
      <c r="P644" s="185"/>
      <c r="Q644" s="417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</row>
    <row r="645" spans="1:50" s="10" customFormat="1" ht="14.5" thickBot="1">
      <c r="A645"/>
      <c r="B645"/>
      <c r="C645"/>
      <c r="D645" s="148"/>
      <c r="E645" s="186" t="s">
        <v>154</v>
      </c>
      <c r="F645" s="187"/>
      <c r="G645" s="187"/>
      <c r="H645" s="187"/>
      <c r="I645" s="187"/>
      <c r="J645" s="187"/>
      <c r="K645" s="187"/>
      <c r="L645" s="188"/>
      <c r="M645" s="189"/>
      <c r="N645" s="190"/>
      <c r="O645" s="220"/>
      <c r="P645" s="221">
        <f>M645*O645</f>
        <v>0</v>
      </c>
      <c r="Q645" s="421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</row>
    <row r="646" spans="1:50" s="10" customFormat="1" ht="14.5" thickTop="1">
      <c r="A646"/>
      <c r="B646"/>
      <c r="C646"/>
      <c r="D646" s="155"/>
      <c r="E646" s="191"/>
      <c r="F646" s="192"/>
      <c r="G646" s="192"/>
      <c r="H646" s="192"/>
      <c r="I646" s="192"/>
      <c r="J646" s="192"/>
      <c r="K646" s="192"/>
      <c r="L646" s="193"/>
      <c r="M646" s="264"/>
      <c r="N646" s="195"/>
      <c r="O646" s="225"/>
      <c r="P646" s="226">
        <f>M646*O646</f>
        <v>0</v>
      </c>
      <c r="Q646" s="421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</row>
    <row r="647" spans="1:50" s="10" customFormat="1" ht="14">
      <c r="A647"/>
      <c r="B647"/>
      <c r="C647"/>
      <c r="D647" s="155"/>
      <c r="E647" s="254" t="s">
        <v>189</v>
      </c>
      <c r="F647" s="197"/>
      <c r="G647" s="197"/>
      <c r="H647" s="197"/>
      <c r="I647" s="197"/>
      <c r="J647" s="197"/>
      <c r="K647" s="197"/>
      <c r="L647" s="198"/>
      <c r="M647" s="206"/>
      <c r="N647" s="200"/>
      <c r="O647" s="222"/>
      <c r="P647" s="214">
        <f>M647*O647</f>
        <v>0</v>
      </c>
      <c r="Q647" s="421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</row>
    <row r="648" spans="1:50" s="10" customFormat="1" ht="14">
      <c r="A648"/>
      <c r="B648"/>
      <c r="C648"/>
      <c r="D648" s="155"/>
      <c r="E648" s="247" t="s">
        <v>425</v>
      </c>
      <c r="F648" s="276"/>
      <c r="G648" s="197"/>
      <c r="H648" s="197"/>
      <c r="I648" s="197"/>
      <c r="J648" s="197"/>
      <c r="K648" s="197"/>
      <c r="L648" s="198"/>
      <c r="M648" s="206"/>
      <c r="N648" s="200"/>
      <c r="O648" s="222"/>
      <c r="P648" s="214">
        <f>M648*O648</f>
        <v>0</v>
      </c>
      <c r="Q648" s="421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</row>
    <row r="649" spans="1:50" s="10" customFormat="1" ht="14">
      <c r="A649"/>
      <c r="B649"/>
      <c r="C649"/>
      <c r="D649" s="155"/>
      <c r="E649" s="218" t="s">
        <v>427</v>
      </c>
      <c r="F649" s="276"/>
      <c r="G649" s="197" t="s">
        <v>632</v>
      </c>
      <c r="H649" s="276"/>
      <c r="I649" s="197"/>
      <c r="J649" s="197"/>
      <c r="K649" s="197"/>
      <c r="L649" s="198"/>
      <c r="M649" s="199"/>
      <c r="N649" s="200" t="s">
        <v>5</v>
      </c>
      <c r="O649" s="222">
        <v>20</v>
      </c>
      <c r="P649" s="214">
        <f t="shared" ref="P649:P665" si="29">M649*O649</f>
        <v>0</v>
      </c>
      <c r="Q649" s="421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</row>
    <row r="650" spans="1:50" s="10" customFormat="1" ht="14">
      <c r="A650"/>
      <c r="B650"/>
      <c r="C650"/>
      <c r="D650" s="155"/>
      <c r="E650" s="218" t="s">
        <v>427</v>
      </c>
      <c r="F650" s="276"/>
      <c r="G650" s="197" t="s">
        <v>631</v>
      </c>
      <c r="H650" s="276"/>
      <c r="I650" s="197"/>
      <c r="J650" s="197"/>
      <c r="K650" s="197"/>
      <c r="L650" s="198"/>
      <c r="M650" s="199">
        <v>2840</v>
      </c>
      <c r="N650" s="200" t="s">
        <v>5</v>
      </c>
      <c r="O650" s="222">
        <v>14</v>
      </c>
      <c r="P650" s="214">
        <f t="shared" si="29"/>
        <v>39760</v>
      </c>
      <c r="Q650" s="421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</row>
    <row r="651" spans="1:50" s="10" customFormat="1" ht="14">
      <c r="A651"/>
      <c r="B651"/>
      <c r="C651"/>
      <c r="D651" s="155"/>
      <c r="E651" s="218" t="s">
        <v>428</v>
      </c>
      <c r="F651" s="276"/>
      <c r="G651" s="197"/>
      <c r="H651" s="276"/>
      <c r="I651" s="197"/>
      <c r="J651" s="208"/>
      <c r="K651" s="197"/>
      <c r="L651" s="198"/>
      <c r="M651" s="199">
        <f>726*6</f>
        <v>4356</v>
      </c>
      <c r="N651" s="200" t="s">
        <v>5</v>
      </c>
      <c r="O651" s="222">
        <v>16</v>
      </c>
      <c r="P651" s="214">
        <f t="shared" si="29"/>
        <v>69696</v>
      </c>
      <c r="Q651" s="42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</row>
    <row r="652" spans="1:50" s="10" customFormat="1" ht="14">
      <c r="A652"/>
      <c r="B652"/>
      <c r="C652"/>
      <c r="D652" s="155"/>
      <c r="E652" s="218"/>
      <c r="F652" s="276"/>
      <c r="G652" s="276"/>
      <c r="H652" s="197"/>
      <c r="I652" s="197"/>
      <c r="J652" s="197"/>
      <c r="K652" s="197"/>
      <c r="L652" s="198"/>
      <c r="M652" s="206"/>
      <c r="N652" s="200"/>
      <c r="O652" s="222"/>
      <c r="P652" s="214">
        <f t="shared" si="29"/>
        <v>0</v>
      </c>
      <c r="Q652" s="421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</row>
    <row r="653" spans="1:50" s="10" customFormat="1" ht="14">
      <c r="A653"/>
      <c r="B653"/>
      <c r="C653"/>
      <c r="D653" s="155"/>
      <c r="E653" s="247" t="s">
        <v>429</v>
      </c>
      <c r="F653" s="276"/>
      <c r="G653" s="276"/>
      <c r="H653" s="197"/>
      <c r="I653" s="197"/>
      <c r="J653" s="197"/>
      <c r="K653" s="197"/>
      <c r="L653" s="198"/>
      <c r="M653" s="206"/>
      <c r="N653" s="200"/>
      <c r="O653" s="222"/>
      <c r="P653" s="214">
        <f t="shared" si="29"/>
        <v>0</v>
      </c>
      <c r="Q653" s="421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</row>
    <row r="654" spans="1:50" s="10" customFormat="1" ht="14">
      <c r="A654"/>
      <c r="B654"/>
      <c r="C654"/>
      <c r="D654" s="155"/>
      <c r="E654" s="218" t="s">
        <v>430</v>
      </c>
      <c r="F654" s="276"/>
      <c r="G654" s="276"/>
      <c r="H654" s="197"/>
      <c r="I654" s="197"/>
      <c r="J654" s="197"/>
      <c r="K654" s="197"/>
      <c r="L654" s="198"/>
      <c r="M654" s="199">
        <v>12130</v>
      </c>
      <c r="N654" s="200" t="s">
        <v>5</v>
      </c>
      <c r="O654" s="222">
        <v>7</v>
      </c>
      <c r="P654" s="214">
        <f t="shared" si="29"/>
        <v>84910</v>
      </c>
      <c r="Q654" s="421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</row>
    <row r="655" spans="1:50" s="10" customFormat="1" ht="14">
      <c r="A655"/>
      <c r="B655"/>
      <c r="C655"/>
      <c r="D655" s="155"/>
      <c r="E655" s="218" t="s">
        <v>653</v>
      </c>
      <c r="F655" s="276"/>
      <c r="G655" s="276"/>
      <c r="H655" s="197"/>
      <c r="I655" s="197"/>
      <c r="J655" s="197"/>
      <c r="K655" s="197"/>
      <c r="L655" s="198"/>
      <c r="M655" s="199"/>
      <c r="N655" s="200" t="s">
        <v>5</v>
      </c>
      <c r="O655" s="222">
        <v>3</v>
      </c>
      <c r="P655" s="214">
        <f t="shared" si="29"/>
        <v>0</v>
      </c>
      <c r="Q655" s="421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</row>
    <row r="656" spans="1:50" s="10" customFormat="1" ht="14">
      <c r="A656"/>
      <c r="B656"/>
      <c r="C656"/>
      <c r="D656" s="155"/>
      <c r="E656" s="218" t="s">
        <v>431</v>
      </c>
      <c r="F656" s="276"/>
      <c r="G656" s="276"/>
      <c r="H656" s="197"/>
      <c r="I656" s="197"/>
      <c r="J656" s="197"/>
      <c r="K656" s="197"/>
      <c r="L656" s="198"/>
      <c r="M656" s="199">
        <f>4005*2</f>
        <v>8010</v>
      </c>
      <c r="N656" s="200" t="s">
        <v>7</v>
      </c>
      <c r="O656" s="222">
        <v>3</v>
      </c>
      <c r="P656" s="214">
        <f t="shared" si="29"/>
        <v>24030</v>
      </c>
      <c r="Q656" s="421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</row>
    <row r="657" spans="1:50" s="10" customFormat="1" ht="14">
      <c r="A657"/>
      <c r="B657"/>
      <c r="C657"/>
      <c r="D657" s="155"/>
      <c r="E657" s="218" t="s">
        <v>432</v>
      </c>
      <c r="F657" s="276"/>
      <c r="G657" s="276"/>
      <c r="H657" s="197"/>
      <c r="I657" s="197"/>
      <c r="J657" s="197"/>
      <c r="K657" s="197"/>
      <c r="L657" s="198">
        <v>9452</v>
      </c>
      <c r="M657" s="199">
        <f>(9452)/9*1.1</f>
        <v>1155.2444444444445</v>
      </c>
      <c r="N657" s="200" t="s">
        <v>202</v>
      </c>
      <c r="O657" s="222">
        <v>45</v>
      </c>
      <c r="P657" s="214">
        <f t="shared" si="29"/>
        <v>51986</v>
      </c>
      <c r="Q657" s="421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</row>
    <row r="658" spans="1:50" s="10" customFormat="1" ht="14">
      <c r="A658"/>
      <c r="B658"/>
      <c r="C658"/>
      <c r="D658" s="155"/>
      <c r="E658" s="218" t="s">
        <v>654</v>
      </c>
      <c r="F658" s="276"/>
      <c r="G658" s="276"/>
      <c r="H658" s="197"/>
      <c r="I658" s="197"/>
      <c r="J658" s="197"/>
      <c r="K658" s="197"/>
      <c r="L658" s="198"/>
      <c r="M658" s="199">
        <v>500</v>
      </c>
      <c r="N658" s="200" t="s">
        <v>5</v>
      </c>
      <c r="O658" s="222">
        <v>30</v>
      </c>
      <c r="P658" s="214">
        <f t="shared" si="29"/>
        <v>15000</v>
      </c>
      <c r="Q658" s="421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</row>
    <row r="659" spans="1:50" s="10" customFormat="1" ht="14">
      <c r="A659"/>
      <c r="B659"/>
      <c r="C659"/>
      <c r="D659" s="155"/>
      <c r="E659" s="218" t="s">
        <v>767</v>
      </c>
      <c r="F659" s="276"/>
      <c r="G659" s="276"/>
      <c r="H659" s="197"/>
      <c r="I659" s="197"/>
      <c r="J659" s="197"/>
      <c r="K659" s="197"/>
      <c r="L659" s="198"/>
      <c r="M659" s="199">
        <v>1036</v>
      </c>
      <c r="N659" s="200" t="s">
        <v>5</v>
      </c>
      <c r="O659" s="222">
        <v>15</v>
      </c>
      <c r="P659" s="214">
        <f t="shared" si="29"/>
        <v>15540</v>
      </c>
      <c r="Q659" s="421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</row>
    <row r="660" spans="1:50" s="10" customFormat="1" ht="14">
      <c r="A660"/>
      <c r="B660"/>
      <c r="C660"/>
      <c r="D660" s="155"/>
      <c r="E660" s="218" t="s">
        <v>680</v>
      </c>
      <c r="F660" s="276"/>
      <c r="G660" s="276"/>
      <c r="H660" s="197"/>
      <c r="I660" s="197"/>
      <c r="J660" s="197"/>
      <c r="K660" s="197"/>
      <c r="L660" s="198"/>
      <c r="M660" s="199"/>
      <c r="N660" s="200" t="s">
        <v>5</v>
      </c>
      <c r="O660" s="222">
        <v>14</v>
      </c>
      <c r="P660" s="214">
        <f t="shared" si="29"/>
        <v>0</v>
      </c>
      <c r="Q660" s="421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</row>
    <row r="661" spans="1:50" s="10" customFormat="1" ht="14">
      <c r="A661"/>
      <c r="B661"/>
      <c r="C661"/>
      <c r="D661" s="155"/>
      <c r="E661" s="218" t="s">
        <v>652</v>
      </c>
      <c r="F661" s="276"/>
      <c r="G661" s="276"/>
      <c r="H661" s="197"/>
      <c r="I661" s="197"/>
      <c r="J661" s="197"/>
      <c r="K661" s="197"/>
      <c r="L661" s="198"/>
      <c r="M661" s="199"/>
      <c r="N661" s="200" t="s">
        <v>162</v>
      </c>
      <c r="O661" s="222">
        <v>1700</v>
      </c>
      <c r="P661" s="214">
        <f t="shared" si="29"/>
        <v>0</v>
      </c>
      <c r="Q661" s="42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</row>
    <row r="662" spans="1:50" s="10" customFormat="1" ht="14">
      <c r="A662"/>
      <c r="B662"/>
      <c r="C662"/>
      <c r="D662" s="155"/>
      <c r="E662" s="218" t="s">
        <v>426</v>
      </c>
      <c r="F662" s="276"/>
      <c r="G662" s="276"/>
      <c r="H662" s="197"/>
      <c r="I662" s="197"/>
      <c r="J662" s="197"/>
      <c r="K662" s="197"/>
      <c r="L662" s="198"/>
      <c r="M662" s="199">
        <v>46290</v>
      </c>
      <c r="N662" s="200" t="s">
        <v>5</v>
      </c>
      <c r="O662" s="222">
        <v>0.3</v>
      </c>
      <c r="P662" s="214">
        <f t="shared" si="29"/>
        <v>13887</v>
      </c>
      <c r="Q662" s="421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</row>
    <row r="663" spans="1:50" s="10" customFormat="1" ht="14">
      <c r="A663"/>
      <c r="B663"/>
      <c r="C663"/>
      <c r="D663" s="155"/>
      <c r="E663" s="218"/>
      <c r="F663" s="276"/>
      <c r="G663" s="276"/>
      <c r="H663" s="197"/>
      <c r="I663" s="197"/>
      <c r="J663" s="197"/>
      <c r="K663" s="197"/>
      <c r="L663" s="198"/>
      <c r="M663" s="206"/>
      <c r="N663" s="200"/>
      <c r="O663" s="222"/>
      <c r="P663" s="214">
        <f t="shared" si="29"/>
        <v>0</v>
      </c>
      <c r="Q663" s="421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</row>
    <row r="664" spans="1:50" s="10" customFormat="1" ht="14">
      <c r="A664"/>
      <c r="B664"/>
      <c r="C664"/>
      <c r="D664" s="155"/>
      <c r="E664" s="247" t="s">
        <v>433</v>
      </c>
      <c r="F664" s="276"/>
      <c r="G664" s="276"/>
      <c r="H664" s="197"/>
      <c r="I664" s="197"/>
      <c r="J664" s="197"/>
      <c r="K664" s="197"/>
      <c r="L664" s="198"/>
      <c r="M664" s="206"/>
      <c r="N664" s="200"/>
      <c r="O664" s="222"/>
      <c r="P664" s="214">
        <f t="shared" si="29"/>
        <v>0</v>
      </c>
      <c r="Q664" s="421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</row>
    <row r="665" spans="1:50" s="10" customFormat="1" ht="14">
      <c r="A665"/>
      <c r="B665"/>
      <c r="C665"/>
      <c r="D665" s="155"/>
      <c r="E665" s="218" t="s">
        <v>128</v>
      </c>
      <c r="F665" s="197"/>
      <c r="G665" s="197"/>
      <c r="H665" s="197"/>
      <c r="I665" s="197"/>
      <c r="J665" s="197"/>
      <c r="K665" s="197"/>
      <c r="L665" s="198"/>
      <c r="M665" s="199">
        <v>11120</v>
      </c>
      <c r="N665" s="200" t="s">
        <v>5</v>
      </c>
      <c r="O665" s="222">
        <v>2</v>
      </c>
      <c r="P665" s="214">
        <f t="shared" si="29"/>
        <v>22240</v>
      </c>
      <c r="Q665" s="421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</row>
    <row r="666" spans="1:50" s="10" customFormat="1" ht="14">
      <c r="A666"/>
      <c r="B666"/>
      <c r="C666"/>
      <c r="D666" s="155"/>
      <c r="E666" s="218" t="s">
        <v>646</v>
      </c>
      <c r="F666" s="197"/>
      <c r="G666" s="197"/>
      <c r="H666" s="197"/>
      <c r="I666" s="197"/>
      <c r="J666" s="197"/>
      <c r="K666" s="197"/>
      <c r="L666" s="198"/>
      <c r="M666" s="199">
        <v>9712</v>
      </c>
      <c r="N666" s="200" t="s">
        <v>5</v>
      </c>
      <c r="O666" s="246">
        <v>5</v>
      </c>
      <c r="P666" s="214">
        <f>M666*O666</f>
        <v>48560</v>
      </c>
      <c r="Q666" s="421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</row>
    <row r="667" spans="1:50" s="10" customFormat="1" ht="14">
      <c r="A667"/>
      <c r="B667"/>
      <c r="C667"/>
      <c r="D667" s="155"/>
      <c r="E667" s="196"/>
      <c r="F667" s="197"/>
      <c r="G667" s="197"/>
      <c r="H667" s="197"/>
      <c r="I667" s="197"/>
      <c r="J667" s="197"/>
      <c r="K667" s="197"/>
      <c r="L667" s="198"/>
      <c r="M667" s="199"/>
      <c r="N667" s="200"/>
      <c r="O667" s="246"/>
      <c r="P667" s="214">
        <f>M667*O667</f>
        <v>0</v>
      </c>
      <c r="Q667" s="421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</row>
    <row r="668" spans="1:50" s="10" customFormat="1" ht="14">
      <c r="A668"/>
      <c r="B668"/>
      <c r="C668"/>
      <c r="D668" s="155"/>
      <c r="E668" s="179"/>
      <c r="F668" s="180"/>
      <c r="G668" s="180"/>
      <c r="H668" s="180"/>
      <c r="I668" s="180"/>
      <c r="J668" s="180"/>
      <c r="K668" s="180"/>
      <c r="L668" s="181"/>
      <c r="M668" s="182"/>
      <c r="N668" s="183"/>
      <c r="O668" s="184"/>
      <c r="P668" s="185"/>
      <c r="Q668" s="185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</row>
    <row r="669" spans="1:50" s="10" customFormat="1" ht="14">
      <c r="A669"/>
      <c r="B669"/>
      <c r="C669"/>
      <c r="D669" s="155"/>
      <c r="E669" s="196"/>
      <c r="F669" s="197"/>
      <c r="G669" s="197"/>
      <c r="H669" s="197"/>
      <c r="I669" s="197"/>
      <c r="J669" s="197"/>
      <c r="K669" s="197"/>
      <c r="L669" s="198"/>
      <c r="M669" s="199"/>
      <c r="N669" s="200"/>
      <c r="O669" s="246"/>
      <c r="P669" s="214">
        <f>SUM(P644:P668)</f>
        <v>385609</v>
      </c>
      <c r="Q669" s="421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</row>
    <row r="670" spans="1:50" s="10" customFormat="1" ht="14">
      <c r="A670"/>
      <c r="B670"/>
      <c r="C670"/>
      <c r="D670" s="155"/>
      <c r="E670" s="154"/>
      <c r="F670" s="154"/>
      <c r="G670" s="154"/>
      <c r="H670" s="154"/>
      <c r="I670" s="154"/>
      <c r="J670" s="154"/>
      <c r="K670" s="154"/>
      <c r="L670" s="154"/>
      <c r="M670" s="156"/>
      <c r="N670" s="157"/>
      <c r="O670" s="158"/>
      <c r="P670" s="159"/>
      <c r="Q670" s="16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</row>
    <row r="671" spans="1:50" s="10" customFormat="1" ht="14">
      <c r="A671"/>
      <c r="B671"/>
      <c r="C671"/>
      <c r="D671" s="155"/>
      <c r="E671" s="168"/>
      <c r="F671" s="169"/>
      <c r="G671" s="169"/>
      <c r="H671" s="169"/>
      <c r="I671" s="169"/>
      <c r="J671" s="169"/>
      <c r="K671" s="169"/>
      <c r="L671" s="163"/>
      <c r="M671" s="164"/>
      <c r="N671" s="165"/>
      <c r="O671" s="166"/>
      <c r="P671" s="167"/>
      <c r="Q671" s="167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</row>
    <row r="672" spans="1:50" s="10" customFormat="1" ht="14">
      <c r="A672"/>
      <c r="B672"/>
      <c r="C672"/>
      <c r="D672" s="155"/>
      <c r="E672" s="168" t="str">
        <f>RECAP!F42</f>
        <v xml:space="preserve">PAINTING </v>
      </c>
      <c r="F672" s="168"/>
      <c r="G672" s="168"/>
      <c r="H672" s="168"/>
      <c r="I672" s="168"/>
      <c r="J672" s="168"/>
      <c r="K672" s="168"/>
      <c r="L672" s="163"/>
      <c r="M672" s="164"/>
      <c r="N672" s="165"/>
      <c r="O672" s="166"/>
      <c r="P672" s="167"/>
      <c r="Q672" s="167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</row>
    <row r="673" spans="1:50" s="10" customFormat="1" ht="14">
      <c r="A673"/>
      <c r="B673"/>
      <c r="C673"/>
      <c r="D673" s="155"/>
      <c r="E673" s="154"/>
      <c r="F673" s="154"/>
      <c r="G673" s="154"/>
      <c r="H673" s="154"/>
      <c r="I673" s="154"/>
      <c r="J673" s="154"/>
      <c r="K673" s="154"/>
      <c r="L673" s="154"/>
      <c r="M673" s="156"/>
      <c r="N673" s="157"/>
      <c r="O673" s="158"/>
      <c r="P673" s="159"/>
      <c r="Q673" s="160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</row>
    <row r="674" spans="1:50" s="10" customFormat="1" ht="14">
      <c r="A674"/>
      <c r="B674"/>
      <c r="C674"/>
      <c r="D674" s="170"/>
      <c r="E674" s="171"/>
      <c r="F674" s="172"/>
      <c r="G674" s="172" t="s">
        <v>13</v>
      </c>
      <c r="H674" s="172"/>
      <c r="I674" s="172"/>
      <c r="J674" s="172"/>
      <c r="K674" s="172"/>
      <c r="L674" s="173"/>
      <c r="M674" s="174" t="s">
        <v>23</v>
      </c>
      <c r="N674" s="175" t="s">
        <v>151</v>
      </c>
      <c r="O674" s="176" t="s">
        <v>152</v>
      </c>
      <c r="P674" s="177" t="s">
        <v>153</v>
      </c>
      <c r="Q674" s="416" t="s">
        <v>17</v>
      </c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</row>
    <row r="675" spans="1:50" s="10" customFormat="1" ht="14">
      <c r="A675"/>
      <c r="B675"/>
      <c r="C675"/>
      <c r="D675" s="155"/>
      <c r="E675" s="179"/>
      <c r="F675" s="180"/>
      <c r="G675" s="180"/>
      <c r="H675" s="180"/>
      <c r="I675" s="180"/>
      <c r="J675" s="180"/>
      <c r="K675" s="180"/>
      <c r="L675" s="181"/>
      <c r="M675" s="182"/>
      <c r="N675" s="183"/>
      <c r="O675" s="184"/>
      <c r="P675" s="185"/>
      <c r="Q675" s="417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</row>
    <row r="676" spans="1:50" s="10" customFormat="1" ht="14.5" thickBot="1">
      <c r="A676"/>
      <c r="B676"/>
      <c r="C676"/>
      <c r="D676" s="148"/>
      <c r="E676" s="186" t="s">
        <v>154</v>
      </c>
      <c r="F676" s="187"/>
      <c r="G676" s="187"/>
      <c r="H676" s="187"/>
      <c r="I676" s="187"/>
      <c r="J676" s="187"/>
      <c r="K676" s="187"/>
      <c r="L676" s="188"/>
      <c r="M676" s="189"/>
      <c r="N676" s="190"/>
      <c r="O676" s="220"/>
      <c r="P676" s="221">
        <f>M676*O676</f>
        <v>0</v>
      </c>
      <c r="Q676" s="421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</row>
    <row r="677" spans="1:50" s="10" customFormat="1" ht="14.5" thickTop="1">
      <c r="A677"/>
      <c r="B677"/>
      <c r="C677"/>
      <c r="D677" s="155"/>
      <c r="E677" s="191"/>
      <c r="F677" s="192"/>
      <c r="G677" s="192"/>
      <c r="H677" s="192"/>
      <c r="I677" s="192"/>
      <c r="J677" s="192"/>
      <c r="K677" s="192"/>
      <c r="L677" s="193"/>
      <c r="M677" s="194"/>
      <c r="N677" s="195"/>
      <c r="O677" s="225"/>
      <c r="P677" s="226">
        <f>M677*O677</f>
        <v>0</v>
      </c>
      <c r="Q677" s="421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</row>
    <row r="678" spans="1:50" s="10" customFormat="1" ht="14">
      <c r="A678"/>
      <c r="B678"/>
      <c r="C678"/>
      <c r="D678" s="155"/>
      <c r="E678" s="196"/>
      <c r="F678" s="197"/>
      <c r="G678" s="197"/>
      <c r="H678" s="197"/>
      <c r="I678" s="197"/>
      <c r="J678" s="197"/>
      <c r="K678" s="197"/>
      <c r="L678" s="198"/>
      <c r="M678" s="199"/>
      <c r="N678" s="200"/>
      <c r="O678" s="222"/>
      <c r="P678" s="214">
        <f>M678*O678</f>
        <v>0</v>
      </c>
      <c r="Q678" s="421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</row>
    <row r="679" spans="1:50" s="10" customFormat="1" ht="14">
      <c r="A679"/>
      <c r="B679"/>
      <c r="C679"/>
      <c r="D679" s="155"/>
      <c r="E679" s="254" t="s">
        <v>434</v>
      </c>
      <c r="F679" s="197"/>
      <c r="G679" s="197"/>
      <c r="H679" s="197"/>
      <c r="I679" s="197"/>
      <c r="J679" s="197"/>
      <c r="K679" s="197"/>
      <c r="L679" s="198"/>
      <c r="M679" s="199"/>
      <c r="N679" s="200"/>
      <c r="O679" s="222"/>
      <c r="P679" s="214">
        <f t="shared" ref="P679:P684" si="30">M679*O679</f>
        <v>0</v>
      </c>
      <c r="Q679" s="421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</row>
    <row r="680" spans="1:50" s="10" customFormat="1" ht="14">
      <c r="A680"/>
      <c r="B680"/>
      <c r="C680"/>
      <c r="D680" s="155"/>
      <c r="E680" s="203" t="s">
        <v>435</v>
      </c>
      <c r="F680" s="197"/>
      <c r="G680" s="197"/>
      <c r="H680" s="197"/>
      <c r="I680" s="197"/>
      <c r="J680" s="197"/>
      <c r="K680" s="197"/>
      <c r="L680" s="198"/>
      <c r="M680" s="199">
        <f>M557</f>
        <v>31</v>
      </c>
      <c r="N680" s="200" t="s">
        <v>162</v>
      </c>
      <c r="O680" s="222">
        <v>100</v>
      </c>
      <c r="P680" s="214">
        <f t="shared" si="30"/>
        <v>3100</v>
      </c>
      <c r="Q680" s="421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</row>
    <row r="681" spans="1:50" s="10" customFormat="1" ht="14">
      <c r="A681"/>
      <c r="B681"/>
      <c r="C681"/>
      <c r="D681" s="155"/>
      <c r="E681" s="203" t="s">
        <v>773</v>
      </c>
      <c r="F681" s="197"/>
      <c r="G681" s="197"/>
      <c r="H681" s="197"/>
      <c r="I681" s="197"/>
      <c r="J681" s="197"/>
      <c r="K681" s="197"/>
      <c r="L681" s="198"/>
      <c r="M681" s="199">
        <f>M365*2+M364+M363+M366</f>
        <v>34188</v>
      </c>
      <c r="N681" s="200" t="s">
        <v>5</v>
      </c>
      <c r="O681" s="222">
        <v>1.35</v>
      </c>
      <c r="P681" s="214">
        <f t="shared" si="30"/>
        <v>46153.8</v>
      </c>
      <c r="Q681" s="42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</row>
    <row r="682" spans="1:50" s="10" customFormat="1" ht="14">
      <c r="A682"/>
      <c r="B682"/>
      <c r="C682"/>
      <c r="D682" s="155"/>
      <c r="E682" s="203" t="s">
        <v>436</v>
      </c>
      <c r="F682" s="197"/>
      <c r="G682" s="197"/>
      <c r="H682" s="197"/>
      <c r="I682" s="197"/>
      <c r="J682" s="197"/>
      <c r="K682" s="197"/>
      <c r="L682" s="198"/>
      <c r="M682" s="199">
        <f>M623*2+M621+M629</f>
        <v>139291</v>
      </c>
      <c r="N682" s="200" t="s">
        <v>5</v>
      </c>
      <c r="O682" s="222">
        <v>1.1499999999999999</v>
      </c>
      <c r="P682" s="214">
        <f t="shared" si="30"/>
        <v>160184.65</v>
      </c>
      <c r="Q682" s="421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</row>
    <row r="683" spans="1:50" s="10" customFormat="1" ht="14">
      <c r="A683"/>
      <c r="B683"/>
      <c r="C683"/>
      <c r="D683" s="155"/>
      <c r="E683" s="203" t="s">
        <v>437</v>
      </c>
      <c r="F683" s="197"/>
      <c r="G683" s="197"/>
      <c r="H683" s="197"/>
      <c r="I683" s="197"/>
      <c r="J683" s="197"/>
      <c r="K683" s="197"/>
      <c r="L683" s="198"/>
      <c r="M683" s="199">
        <v>1</v>
      </c>
      <c r="N683" s="200" t="s">
        <v>164</v>
      </c>
      <c r="O683" s="222">
        <v>15000</v>
      </c>
      <c r="P683" s="214">
        <f t="shared" si="30"/>
        <v>15000</v>
      </c>
      <c r="Q683" s="421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</row>
    <row r="684" spans="1:50" s="10" customFormat="1" ht="14">
      <c r="A684"/>
      <c r="B684"/>
      <c r="C684"/>
      <c r="D684" s="155"/>
      <c r="E684" s="203" t="s">
        <v>633</v>
      </c>
      <c r="F684" s="197"/>
      <c r="G684" s="197"/>
      <c r="H684" s="197"/>
      <c r="I684" s="197"/>
      <c r="J684" s="197"/>
      <c r="K684" s="197"/>
      <c r="L684" s="198"/>
      <c r="M684" s="199">
        <v>7500</v>
      </c>
      <c r="N684" s="200" t="s">
        <v>5</v>
      </c>
      <c r="O684" s="222">
        <v>2</v>
      </c>
      <c r="P684" s="214">
        <f t="shared" si="30"/>
        <v>15000</v>
      </c>
      <c r="Q684" s="421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</row>
    <row r="685" spans="1:50" s="10" customFormat="1" ht="14">
      <c r="A685"/>
      <c r="B685"/>
      <c r="C685"/>
      <c r="D685" s="155"/>
      <c r="E685" s="203" t="s">
        <v>634</v>
      </c>
      <c r="F685" s="197"/>
      <c r="G685" s="197"/>
      <c r="H685" s="197"/>
      <c r="I685" s="197"/>
      <c r="J685" s="197"/>
      <c r="K685" s="197"/>
      <c r="L685" s="198"/>
      <c r="M685" s="199">
        <v>1</v>
      </c>
      <c r="N685" s="200" t="s">
        <v>164</v>
      </c>
      <c r="O685" s="222">
        <v>15000</v>
      </c>
      <c r="P685" s="214">
        <f>M685*O685</f>
        <v>15000</v>
      </c>
      <c r="Q685" s="421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</row>
    <row r="686" spans="1:50" s="10" customFormat="1" ht="14">
      <c r="A686"/>
      <c r="B686"/>
      <c r="C686"/>
      <c r="D686" s="155"/>
      <c r="E686" s="203"/>
      <c r="F686" s="197"/>
      <c r="G686" s="197"/>
      <c r="H686" s="197"/>
      <c r="I686" s="197"/>
      <c r="J686" s="197"/>
      <c r="K686" s="197"/>
      <c r="L686" s="198"/>
      <c r="M686" s="199"/>
      <c r="N686" s="200"/>
      <c r="O686" s="246"/>
      <c r="P686" s="214">
        <f t="shared" ref="P686" si="31">M686*O686</f>
        <v>0</v>
      </c>
      <c r="Q686" s="421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</row>
    <row r="687" spans="1:50" s="10" customFormat="1" ht="14">
      <c r="A687"/>
      <c r="B687"/>
      <c r="C687"/>
      <c r="D687" s="155"/>
      <c r="E687" s="179"/>
      <c r="F687" s="180"/>
      <c r="G687" s="180"/>
      <c r="H687" s="180"/>
      <c r="I687" s="180"/>
      <c r="J687" s="180"/>
      <c r="K687" s="180"/>
      <c r="L687" s="181"/>
      <c r="M687" s="182"/>
      <c r="N687" s="183"/>
      <c r="O687" s="184"/>
      <c r="P687" s="185"/>
      <c r="Q687" s="185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</row>
    <row r="688" spans="1:50" s="10" customFormat="1" ht="14">
      <c r="A688"/>
      <c r="B688"/>
      <c r="C688"/>
      <c r="D688" s="155"/>
      <c r="E688" s="196"/>
      <c r="F688" s="197"/>
      <c r="G688" s="197"/>
      <c r="H688" s="197"/>
      <c r="I688" s="197"/>
      <c r="J688" s="197"/>
      <c r="K688" s="197"/>
      <c r="L688" s="198"/>
      <c r="M688" s="199"/>
      <c r="N688" s="200"/>
      <c r="O688" s="246"/>
      <c r="P688" s="214">
        <f>SUM(P675:P687)</f>
        <v>254438.45</v>
      </c>
      <c r="Q688" s="421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</row>
    <row r="689" spans="1:50" s="10" customFormat="1" ht="14">
      <c r="A689"/>
      <c r="B689"/>
      <c r="C689"/>
      <c r="D689" s="155"/>
      <c r="E689" s="154"/>
      <c r="F689" s="154"/>
      <c r="G689" s="154"/>
      <c r="H689" s="154"/>
      <c r="I689" s="154"/>
      <c r="J689" s="154"/>
      <c r="K689" s="154"/>
      <c r="L689" s="154"/>
      <c r="M689" s="156"/>
      <c r="N689" s="157"/>
      <c r="O689" s="158"/>
      <c r="P689" s="159"/>
      <c r="Q689" s="160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</row>
    <row r="690" spans="1:50" s="10" customFormat="1" ht="14">
      <c r="A690"/>
      <c r="B690"/>
      <c r="C690"/>
      <c r="D690" s="155"/>
      <c r="E690" s="154"/>
      <c r="F690" s="154"/>
      <c r="G690" s="154"/>
      <c r="H690" s="154"/>
      <c r="I690" s="154"/>
      <c r="J690" s="154"/>
      <c r="K690" s="154"/>
      <c r="L690" s="154"/>
      <c r="M690" s="156"/>
      <c r="N690" s="157"/>
      <c r="O690" s="158" t="s">
        <v>841</v>
      </c>
      <c r="P690" s="159">
        <v>2619403</v>
      </c>
      <c r="Q690" s="134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</row>
    <row r="691" spans="1:50" s="10" customFormat="1">
      <c r="A691"/>
      <c r="B691"/>
      <c r="C691"/>
      <c r="D691" s="133"/>
      <c r="E691" s="134"/>
      <c r="F691" s="134"/>
      <c r="G691" s="134"/>
      <c r="H691" s="134"/>
      <c r="I691" s="134"/>
      <c r="J691" s="134"/>
      <c r="K691" s="134"/>
      <c r="L691" s="134"/>
      <c r="M691" s="132"/>
      <c r="N691" s="134"/>
      <c r="O691" s="134"/>
      <c r="P691" s="412" t="e">
        <f>P690/Area</f>
        <v>#REF!</v>
      </c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</row>
    <row r="692" spans="1:50" s="10" customFormat="1" ht="14.5">
      <c r="A692" s="6"/>
      <c r="B692" s="6"/>
      <c r="C692" s="6"/>
      <c r="D692" s="148"/>
      <c r="E692" s="147"/>
      <c r="F692" s="147" t="s">
        <v>90</v>
      </c>
      <c r="G692" s="147"/>
      <c r="H692" s="147"/>
      <c r="I692" s="147"/>
      <c r="J692" s="147"/>
      <c r="K692" s="147"/>
      <c r="L692" s="147"/>
      <c r="M692" s="149"/>
      <c r="N692" s="150"/>
      <c r="O692" s="151"/>
      <c r="P692" s="152"/>
      <c r="Q692" s="153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</row>
    <row r="693" spans="1:50" s="10" customFormat="1" ht="14">
      <c r="A693"/>
      <c r="B693"/>
      <c r="C693"/>
      <c r="D693" s="155"/>
      <c r="E693" s="154"/>
      <c r="F693" s="154"/>
      <c r="G693" s="154"/>
      <c r="H693" s="154"/>
      <c r="I693" s="154"/>
      <c r="J693" s="154"/>
      <c r="K693" s="154"/>
      <c r="L693" s="154"/>
      <c r="M693" s="156"/>
      <c r="N693" s="157"/>
      <c r="O693" s="158"/>
      <c r="P693" s="159"/>
      <c r="Q693" s="160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</row>
    <row r="694" spans="1:50" s="10" customFormat="1" ht="14">
      <c r="A694"/>
      <c r="B694"/>
      <c r="C694"/>
      <c r="D694" s="155"/>
      <c r="E694" s="168"/>
      <c r="F694" s="169"/>
      <c r="G694" s="169"/>
      <c r="H694" s="169"/>
      <c r="I694" s="169"/>
      <c r="J694" s="169"/>
      <c r="K694" s="169"/>
      <c r="L694" s="163"/>
      <c r="M694" s="164"/>
      <c r="N694" s="165"/>
      <c r="O694" s="166"/>
      <c r="P694" s="167"/>
      <c r="Q694" s="167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</row>
    <row r="695" spans="1:50" s="10" customFormat="1" ht="14">
      <c r="A695"/>
      <c r="B695"/>
      <c r="C695"/>
      <c r="D695" s="155"/>
      <c r="E695" s="168" t="str">
        <f>RECAP!F44</f>
        <v>STANDARD SPECIALTIES</v>
      </c>
      <c r="F695" s="168"/>
      <c r="G695" s="168"/>
      <c r="H695" s="168"/>
      <c r="I695" s="168"/>
      <c r="J695" s="168"/>
      <c r="K695" s="168"/>
      <c r="L695" s="163"/>
      <c r="M695" s="164"/>
      <c r="N695" s="165"/>
      <c r="O695" s="166"/>
      <c r="P695" s="167"/>
      <c r="Q695" s="167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</row>
    <row r="696" spans="1:50" s="10" customFormat="1" ht="14">
      <c r="A696"/>
      <c r="B696"/>
      <c r="C696"/>
      <c r="D696" s="155"/>
      <c r="E696" s="154"/>
      <c r="F696" s="154"/>
      <c r="G696" s="154"/>
      <c r="H696" s="154"/>
      <c r="I696" s="154"/>
      <c r="J696" s="154"/>
      <c r="K696" s="154"/>
      <c r="L696" s="154"/>
      <c r="M696" s="156"/>
      <c r="N696" s="157"/>
      <c r="O696" s="158"/>
      <c r="P696" s="159"/>
      <c r="Q696" s="160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</row>
    <row r="697" spans="1:50" s="10" customFormat="1" ht="14">
      <c r="A697"/>
      <c r="B697"/>
      <c r="C697"/>
      <c r="D697" s="170"/>
      <c r="E697" s="171"/>
      <c r="F697" s="172"/>
      <c r="G697" s="172" t="s">
        <v>13</v>
      </c>
      <c r="H697" s="172"/>
      <c r="I697" s="172"/>
      <c r="J697" s="172"/>
      <c r="K697" s="172"/>
      <c r="L697" s="173"/>
      <c r="M697" s="174" t="s">
        <v>23</v>
      </c>
      <c r="N697" s="175" t="s">
        <v>151</v>
      </c>
      <c r="O697" s="176" t="s">
        <v>152</v>
      </c>
      <c r="P697" s="177" t="s">
        <v>153</v>
      </c>
      <c r="Q697" s="416" t="s">
        <v>17</v>
      </c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</row>
    <row r="698" spans="1:50" s="10" customFormat="1" ht="14">
      <c r="A698"/>
      <c r="B698"/>
      <c r="C698"/>
      <c r="D698" s="155"/>
      <c r="E698" s="179"/>
      <c r="F698" s="180"/>
      <c r="G698" s="180"/>
      <c r="H698" s="180"/>
      <c r="I698" s="180"/>
      <c r="J698" s="180"/>
      <c r="K698" s="180"/>
      <c r="L698" s="181"/>
      <c r="M698" s="182"/>
      <c r="N698" s="183"/>
      <c r="O698" s="277"/>
      <c r="P698" s="185"/>
      <c r="Q698" s="417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</row>
    <row r="699" spans="1:50" s="10" customFormat="1" ht="14.5" thickBot="1">
      <c r="A699"/>
      <c r="B699"/>
      <c r="C699"/>
      <c r="D699" s="155"/>
      <c r="E699" s="186" t="s">
        <v>154</v>
      </c>
      <c r="F699" s="187"/>
      <c r="G699" s="187"/>
      <c r="H699" s="187"/>
      <c r="I699" s="187"/>
      <c r="J699" s="187"/>
      <c r="K699" s="187"/>
      <c r="L699" s="188"/>
      <c r="M699" s="189"/>
      <c r="N699" s="190"/>
      <c r="O699" s="220"/>
      <c r="P699" s="221">
        <f>M699*O699</f>
        <v>0</v>
      </c>
      <c r="Q699" s="421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</row>
    <row r="700" spans="1:50" s="10" customFormat="1" ht="14.5" thickTop="1">
      <c r="A700"/>
      <c r="B700"/>
      <c r="C700"/>
      <c r="D700" s="155"/>
      <c r="E700" s="203"/>
      <c r="F700" s="197"/>
      <c r="G700" s="197"/>
      <c r="H700" s="197"/>
      <c r="I700" s="197"/>
      <c r="J700" s="197"/>
      <c r="K700" s="197"/>
      <c r="L700" s="198"/>
      <c r="M700" s="199"/>
      <c r="N700" s="200"/>
      <c r="O700" s="222"/>
      <c r="P700" s="214"/>
      <c r="Q700" s="421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</row>
    <row r="701" spans="1:50" s="10" customFormat="1" ht="14">
      <c r="A701"/>
      <c r="B701"/>
      <c r="C701"/>
      <c r="D701" s="155"/>
      <c r="E701" s="203"/>
      <c r="F701" s="197"/>
      <c r="G701" s="197"/>
      <c r="H701" s="197"/>
      <c r="I701" s="197"/>
      <c r="J701" s="197"/>
      <c r="K701" s="197"/>
      <c r="L701" s="198"/>
      <c r="M701" s="199"/>
      <c r="N701" s="200"/>
      <c r="O701" s="222"/>
      <c r="P701" s="214">
        <f t="shared" ref="P701:P727" si="32">M701*O701</f>
        <v>0</v>
      </c>
      <c r="Q701" s="42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</row>
    <row r="702" spans="1:50" s="10" customFormat="1" ht="14">
      <c r="A702"/>
      <c r="B702"/>
      <c r="C702"/>
      <c r="D702" s="155"/>
      <c r="E702" s="278" t="s">
        <v>129</v>
      </c>
      <c r="F702" s="192"/>
      <c r="G702" s="192"/>
      <c r="H702" s="192"/>
      <c r="I702" s="192"/>
      <c r="J702" s="192"/>
      <c r="K702" s="192"/>
      <c r="L702" s="193"/>
      <c r="M702" s="194"/>
      <c r="N702" s="195"/>
      <c r="O702" s="253"/>
      <c r="P702" s="214">
        <f t="shared" si="32"/>
        <v>0</v>
      </c>
      <c r="Q702" s="421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</row>
    <row r="703" spans="1:50" s="10" customFormat="1" ht="14">
      <c r="A703"/>
      <c r="B703"/>
      <c r="C703"/>
      <c r="D703" s="155"/>
      <c r="E703" s="247" t="s">
        <v>438</v>
      </c>
      <c r="F703" s="197"/>
      <c r="G703" s="197"/>
      <c r="H703" s="197"/>
      <c r="I703" s="197"/>
      <c r="J703" s="197"/>
      <c r="K703" s="197"/>
      <c r="L703" s="198"/>
      <c r="M703" s="199"/>
      <c r="N703" s="200"/>
      <c r="O703" s="222"/>
      <c r="P703" s="214">
        <f t="shared" si="32"/>
        <v>0</v>
      </c>
      <c r="Q703" s="421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</row>
    <row r="704" spans="1:50" s="10" customFormat="1" ht="14">
      <c r="A704"/>
      <c r="B704"/>
      <c r="C704"/>
      <c r="D704" s="155"/>
      <c r="E704" s="218" t="s">
        <v>745</v>
      </c>
      <c r="F704" s="197"/>
      <c r="G704" s="197"/>
      <c r="H704" s="197"/>
      <c r="I704" s="197"/>
      <c r="J704" s="197"/>
      <c r="K704" s="197"/>
      <c r="L704" s="198"/>
      <c r="M704" s="199">
        <v>9</v>
      </c>
      <c r="N704" s="200" t="s">
        <v>162</v>
      </c>
      <c r="O704" s="222">
        <v>2500</v>
      </c>
      <c r="P704" s="214">
        <f t="shared" si="32"/>
        <v>22500</v>
      </c>
      <c r="Q704" s="421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</row>
    <row r="705" spans="1:50" s="10" customFormat="1" ht="14">
      <c r="A705"/>
      <c r="B705"/>
      <c r="C705"/>
      <c r="D705" s="155"/>
      <c r="E705" s="218" t="s">
        <v>439</v>
      </c>
      <c r="F705" s="197"/>
      <c r="G705" s="197" t="s">
        <v>681</v>
      </c>
      <c r="H705" s="197"/>
      <c r="I705" s="197"/>
      <c r="J705" s="197"/>
      <c r="K705" s="197"/>
      <c r="L705" s="198"/>
      <c r="M705" s="199">
        <v>2</v>
      </c>
      <c r="N705" s="200" t="s">
        <v>162</v>
      </c>
      <c r="O705" s="222">
        <v>1300</v>
      </c>
      <c r="P705" s="214">
        <f t="shared" si="32"/>
        <v>2600</v>
      </c>
      <c r="Q705" s="421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</row>
    <row r="706" spans="1:50" s="10" customFormat="1" ht="14">
      <c r="A706"/>
      <c r="B706"/>
      <c r="C706"/>
      <c r="D706" s="155"/>
      <c r="E706" s="218" t="s">
        <v>439</v>
      </c>
      <c r="F706" s="197"/>
      <c r="G706" s="197" t="s">
        <v>682</v>
      </c>
      <c r="H706" s="197"/>
      <c r="I706" s="197"/>
      <c r="J706" s="197"/>
      <c r="K706" s="197"/>
      <c r="L706" s="198"/>
      <c r="M706" s="199">
        <v>1</v>
      </c>
      <c r="N706" s="200" t="s">
        <v>162</v>
      </c>
      <c r="O706" s="222">
        <v>1100</v>
      </c>
      <c r="P706" s="214">
        <f t="shared" si="32"/>
        <v>1100</v>
      </c>
      <c r="Q706" s="421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</row>
    <row r="707" spans="1:50" s="10" customFormat="1" ht="14">
      <c r="A707"/>
      <c r="B707"/>
      <c r="C707"/>
      <c r="D707" s="155"/>
      <c r="E707" s="218" t="s">
        <v>683</v>
      </c>
      <c r="F707" s="197"/>
      <c r="G707" s="197"/>
      <c r="H707" s="197"/>
      <c r="I707" s="197"/>
      <c r="J707" s="197"/>
      <c r="K707" s="197"/>
      <c r="L707" s="198"/>
      <c r="M707" s="199">
        <v>1</v>
      </c>
      <c r="N707" s="200" t="s">
        <v>162</v>
      </c>
      <c r="O707" s="222">
        <v>450</v>
      </c>
      <c r="P707" s="214">
        <f t="shared" si="32"/>
        <v>450</v>
      </c>
      <c r="Q707" s="421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</row>
    <row r="708" spans="1:50" s="10" customFormat="1" ht="14">
      <c r="A708"/>
      <c r="B708"/>
      <c r="C708"/>
      <c r="D708" s="155"/>
      <c r="E708" s="218" t="s">
        <v>440</v>
      </c>
      <c r="F708" s="197"/>
      <c r="G708" s="197"/>
      <c r="H708" s="197"/>
      <c r="I708" s="197"/>
      <c r="J708" s="197"/>
      <c r="K708" s="197"/>
      <c r="L708" s="198"/>
      <c r="M708" s="199">
        <f>18*7+22</f>
        <v>148</v>
      </c>
      <c r="N708" s="200" t="s">
        <v>162</v>
      </c>
      <c r="O708" s="222">
        <v>175</v>
      </c>
      <c r="P708" s="214">
        <f t="shared" si="32"/>
        <v>25900</v>
      </c>
      <c r="Q708" s="421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</row>
    <row r="709" spans="1:50" s="10" customFormat="1" ht="14">
      <c r="A709"/>
      <c r="B709"/>
      <c r="C709"/>
      <c r="D709" s="155"/>
      <c r="E709" s="218"/>
      <c r="F709" s="197"/>
      <c r="G709" s="197"/>
      <c r="H709" s="197"/>
      <c r="I709" s="197"/>
      <c r="J709" s="197"/>
      <c r="K709" s="197"/>
      <c r="L709" s="198"/>
      <c r="M709" s="199"/>
      <c r="N709" s="200"/>
      <c r="O709" s="222"/>
      <c r="P709" s="214">
        <f t="shared" si="32"/>
        <v>0</v>
      </c>
      <c r="Q709" s="421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</row>
    <row r="710" spans="1:50" s="10" customFormat="1" ht="14">
      <c r="A710"/>
      <c r="B710"/>
      <c r="C710"/>
      <c r="D710" s="155"/>
      <c r="E710" s="247" t="s">
        <v>441</v>
      </c>
      <c r="F710" s="197"/>
      <c r="G710" s="197"/>
      <c r="H710" s="197"/>
      <c r="I710" s="197"/>
      <c r="J710" s="197"/>
      <c r="K710" s="197"/>
      <c r="L710" s="198"/>
      <c r="M710" s="206"/>
      <c r="N710" s="200"/>
      <c r="O710" s="222"/>
      <c r="P710" s="214">
        <f t="shared" si="32"/>
        <v>0</v>
      </c>
      <c r="Q710" s="421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</row>
    <row r="711" spans="1:50" s="10" customFormat="1" ht="14">
      <c r="A711"/>
      <c r="B711"/>
      <c r="C711"/>
      <c r="D711" s="155"/>
      <c r="E711" s="218" t="s">
        <v>442</v>
      </c>
      <c r="F711" s="197"/>
      <c r="G711" s="197"/>
      <c r="H711" s="197"/>
      <c r="I711" s="197"/>
      <c r="J711" s="197"/>
      <c r="K711" s="197"/>
      <c r="L711" s="198"/>
      <c r="M711" s="199">
        <v>2</v>
      </c>
      <c r="N711" s="200" t="s">
        <v>162</v>
      </c>
      <c r="O711" s="222">
        <v>1200</v>
      </c>
      <c r="P711" s="214">
        <f t="shared" si="32"/>
        <v>2400</v>
      </c>
      <c r="Q711" s="42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</row>
    <row r="712" spans="1:50" s="10" customFormat="1" ht="14">
      <c r="A712"/>
      <c r="B712"/>
      <c r="C712"/>
      <c r="D712" s="155"/>
      <c r="E712" s="218" t="s">
        <v>443</v>
      </c>
      <c r="F712" s="197"/>
      <c r="G712" s="197"/>
      <c r="H712" s="197"/>
      <c r="I712" s="197"/>
      <c r="J712" s="197"/>
      <c r="K712" s="197"/>
      <c r="L712" s="198"/>
      <c r="M712" s="199">
        <v>12</v>
      </c>
      <c r="N712" s="200" t="s">
        <v>162</v>
      </c>
      <c r="O712" s="222">
        <v>350</v>
      </c>
      <c r="P712" s="214">
        <f t="shared" si="32"/>
        <v>4200</v>
      </c>
      <c r="Q712" s="421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</row>
    <row r="713" spans="1:50" s="10" customFormat="1" ht="14">
      <c r="A713"/>
      <c r="B713"/>
      <c r="C713"/>
      <c r="D713" s="155"/>
      <c r="E713" s="218"/>
      <c r="F713" s="197"/>
      <c r="G713" s="197"/>
      <c r="H713" s="197"/>
      <c r="I713" s="197"/>
      <c r="J713" s="197"/>
      <c r="K713" s="197"/>
      <c r="L713" s="198"/>
      <c r="M713" s="206"/>
      <c r="N713" s="200"/>
      <c r="O713" s="222"/>
      <c r="P713" s="214">
        <f t="shared" si="32"/>
        <v>0</v>
      </c>
      <c r="Q713" s="421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</row>
    <row r="714" spans="1:50" s="10" customFormat="1" ht="14">
      <c r="A714"/>
      <c r="B714"/>
      <c r="C714"/>
      <c r="D714" s="155"/>
      <c r="E714" s="247" t="s">
        <v>310</v>
      </c>
      <c r="F714" s="197"/>
      <c r="G714" s="197"/>
      <c r="H714" s="197"/>
      <c r="I714" s="197"/>
      <c r="J714" s="197"/>
      <c r="K714" s="197"/>
      <c r="L714" s="198"/>
      <c r="M714" s="206"/>
      <c r="N714" s="200"/>
      <c r="O714" s="222"/>
      <c r="P714" s="214">
        <f t="shared" si="32"/>
        <v>0</v>
      </c>
      <c r="Q714" s="421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</row>
    <row r="715" spans="1:50" s="10" customFormat="1" ht="14">
      <c r="A715"/>
      <c r="B715"/>
      <c r="C715"/>
      <c r="D715" s="155"/>
      <c r="E715" s="218" t="s">
        <v>444</v>
      </c>
      <c r="F715" s="197"/>
      <c r="G715" s="197"/>
      <c r="H715" s="197"/>
      <c r="I715" s="197"/>
      <c r="J715" s="197"/>
      <c r="K715" s="197"/>
      <c r="L715" s="198"/>
      <c r="M715" s="199">
        <f>M563</f>
        <v>140</v>
      </c>
      <c r="N715" s="200" t="s">
        <v>162</v>
      </c>
      <c r="O715" s="222">
        <v>200</v>
      </c>
      <c r="P715" s="214">
        <f t="shared" si="32"/>
        <v>28000</v>
      </c>
      <c r="Q715" s="421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</row>
    <row r="716" spans="1:50" s="10" customFormat="1" ht="14">
      <c r="A716"/>
      <c r="B716"/>
      <c r="C716"/>
      <c r="D716" s="155"/>
      <c r="E716" s="218" t="s">
        <v>445</v>
      </c>
      <c r="F716" s="197"/>
      <c r="G716" s="197"/>
      <c r="H716" s="197"/>
      <c r="I716" s="197"/>
      <c r="J716" s="197"/>
      <c r="K716" s="197"/>
      <c r="L716" s="198"/>
      <c r="M716" s="199">
        <v>2</v>
      </c>
      <c r="N716" s="200" t="s">
        <v>162</v>
      </c>
      <c r="O716" s="222">
        <v>10000</v>
      </c>
      <c r="P716" s="214">
        <f>M716*O716</f>
        <v>20000</v>
      </c>
      <c r="Q716" s="421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</row>
    <row r="717" spans="1:50" s="10" customFormat="1" ht="14">
      <c r="A717"/>
      <c r="B717"/>
      <c r="C717"/>
      <c r="D717" s="155"/>
      <c r="E717" s="218" t="s">
        <v>316</v>
      </c>
      <c r="F717" s="197"/>
      <c r="G717" s="197"/>
      <c r="H717" s="197"/>
      <c r="I717" s="197"/>
      <c r="J717" s="197"/>
      <c r="K717" s="197"/>
      <c r="L717" s="198"/>
      <c r="M717" s="199">
        <v>1</v>
      </c>
      <c r="N717" s="200" t="s">
        <v>164</v>
      </c>
      <c r="O717" s="222">
        <v>30000</v>
      </c>
      <c r="P717" s="214">
        <f t="shared" ref="P717:P723" si="33">M717*O717</f>
        <v>30000</v>
      </c>
      <c r="Q717" s="421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</row>
    <row r="718" spans="1:50" s="10" customFormat="1" ht="14">
      <c r="A718"/>
      <c r="B718"/>
      <c r="C718"/>
      <c r="D718" s="155"/>
      <c r="E718" s="218" t="s">
        <v>714</v>
      </c>
      <c r="F718" s="197"/>
      <c r="G718" s="197"/>
      <c r="H718" s="197"/>
      <c r="I718" s="197"/>
      <c r="J718" s="197"/>
      <c r="K718" s="197"/>
      <c r="L718" s="198"/>
      <c r="M718" s="199">
        <v>1</v>
      </c>
      <c r="N718" s="200" t="s">
        <v>162</v>
      </c>
      <c r="O718" s="222">
        <v>5000</v>
      </c>
      <c r="P718" s="214">
        <f t="shared" si="33"/>
        <v>5000</v>
      </c>
      <c r="Q718" s="421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</row>
    <row r="719" spans="1:50" s="10" customFormat="1" ht="14">
      <c r="A719"/>
      <c r="B719"/>
      <c r="C719"/>
      <c r="D719" s="155"/>
      <c r="E719" s="203"/>
      <c r="F719" s="197"/>
      <c r="G719" s="197"/>
      <c r="H719" s="197"/>
      <c r="I719" s="197"/>
      <c r="J719" s="197"/>
      <c r="K719" s="197"/>
      <c r="L719" s="198"/>
      <c r="M719" s="199"/>
      <c r="N719" s="200"/>
      <c r="O719" s="222"/>
      <c r="P719" s="214">
        <f t="shared" si="33"/>
        <v>0</v>
      </c>
      <c r="Q719" s="421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</row>
    <row r="720" spans="1:50" s="10" customFormat="1" ht="14">
      <c r="A720"/>
      <c r="B720"/>
      <c r="C720"/>
      <c r="D720" s="155"/>
      <c r="E720" s="203"/>
      <c r="F720" s="197"/>
      <c r="G720" s="197"/>
      <c r="H720" s="197"/>
      <c r="I720" s="197"/>
      <c r="J720" s="197"/>
      <c r="K720" s="197"/>
      <c r="L720" s="198"/>
      <c r="M720" s="199"/>
      <c r="N720" s="200"/>
      <c r="O720" s="222"/>
      <c r="P720" s="214">
        <f t="shared" si="33"/>
        <v>0</v>
      </c>
      <c r="Q720" s="421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</row>
    <row r="721" spans="1:50" s="10" customFormat="1" ht="14">
      <c r="A721"/>
      <c r="B721"/>
      <c r="C721"/>
      <c r="D721" s="155"/>
      <c r="E721" s="203" t="s">
        <v>743</v>
      </c>
      <c r="F721" s="197"/>
      <c r="G721" s="197"/>
      <c r="H721" s="197"/>
      <c r="I721" s="197"/>
      <c r="J721" s="197"/>
      <c r="K721" s="197"/>
      <c r="L721" s="198"/>
      <c r="M721" s="199">
        <v>1</v>
      </c>
      <c r="N721" s="200" t="s">
        <v>162</v>
      </c>
      <c r="O721" s="222">
        <v>5000</v>
      </c>
      <c r="P721" s="214">
        <f t="shared" si="33"/>
        <v>5000</v>
      </c>
      <c r="Q721" s="4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</row>
    <row r="722" spans="1:50" s="10" customFormat="1" ht="14">
      <c r="A722"/>
      <c r="B722"/>
      <c r="C722"/>
      <c r="D722" s="155"/>
      <c r="E722" s="203" t="s">
        <v>744</v>
      </c>
      <c r="F722" s="197"/>
      <c r="G722" s="197"/>
      <c r="H722" s="197"/>
      <c r="I722" s="197"/>
      <c r="J722" s="197"/>
      <c r="K722" s="197"/>
      <c r="L722" s="198"/>
      <c r="M722" s="199">
        <v>2</v>
      </c>
      <c r="N722" s="200" t="s">
        <v>162</v>
      </c>
      <c r="O722" s="222">
        <v>8500</v>
      </c>
      <c r="P722" s="214">
        <f t="shared" si="33"/>
        <v>17000</v>
      </c>
      <c r="Q722" s="421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</row>
    <row r="723" spans="1:50" s="10" customFormat="1" ht="14">
      <c r="A723"/>
      <c r="B723"/>
      <c r="C723"/>
      <c r="D723" s="155"/>
      <c r="E723" s="203" t="s">
        <v>762</v>
      </c>
      <c r="F723" s="197"/>
      <c r="G723" s="197"/>
      <c r="H723" s="197"/>
      <c r="I723" s="197"/>
      <c r="J723" s="197"/>
      <c r="K723" s="197"/>
      <c r="L723" s="198"/>
      <c r="M723" s="199">
        <v>1</v>
      </c>
      <c r="N723" s="200" t="s">
        <v>162</v>
      </c>
      <c r="O723" s="222">
        <v>7500</v>
      </c>
      <c r="P723" s="214">
        <f t="shared" si="33"/>
        <v>7500</v>
      </c>
      <c r="Q723" s="421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</row>
    <row r="724" spans="1:50" s="10" customFormat="1" ht="14">
      <c r="A724"/>
      <c r="B724"/>
      <c r="C724"/>
      <c r="D724" s="155"/>
      <c r="E724" s="203"/>
      <c r="F724" s="197"/>
      <c r="G724" s="197"/>
      <c r="H724" s="197"/>
      <c r="I724" s="197"/>
      <c r="J724" s="197"/>
      <c r="K724" s="197"/>
      <c r="L724" s="198"/>
      <c r="M724" s="199"/>
      <c r="N724" s="200"/>
      <c r="O724" s="222"/>
      <c r="P724" s="214">
        <f t="shared" si="32"/>
        <v>0</v>
      </c>
      <c r="Q724" s="421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</row>
    <row r="725" spans="1:50" s="10" customFormat="1" ht="14">
      <c r="A725"/>
      <c r="B725"/>
      <c r="C725"/>
      <c r="D725" s="155"/>
      <c r="E725" s="203" t="s">
        <v>787</v>
      </c>
      <c r="F725" s="197"/>
      <c r="G725" s="197"/>
      <c r="H725" s="197"/>
      <c r="I725" s="197"/>
      <c r="J725" s="197"/>
      <c r="K725" s="197"/>
      <c r="L725" s="198"/>
      <c r="M725" s="199">
        <v>30</v>
      </c>
      <c r="N725" s="200" t="s">
        <v>162</v>
      </c>
      <c r="O725" s="222">
        <v>200</v>
      </c>
      <c r="P725" s="214">
        <f t="shared" si="32"/>
        <v>6000</v>
      </c>
      <c r="Q725" s="421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</row>
    <row r="726" spans="1:50" s="10" customFormat="1" ht="14">
      <c r="A726"/>
      <c r="B726"/>
      <c r="C726"/>
      <c r="D726" s="155"/>
      <c r="E726" s="203" t="s">
        <v>789</v>
      </c>
      <c r="F726" s="197"/>
      <c r="G726" s="197"/>
      <c r="H726" s="197"/>
      <c r="I726" s="197"/>
      <c r="J726" s="197"/>
      <c r="K726" s="197"/>
      <c r="L726" s="198"/>
      <c r="M726" s="199">
        <v>25</v>
      </c>
      <c r="N726" s="200" t="s">
        <v>162</v>
      </c>
      <c r="O726" s="222">
        <v>650</v>
      </c>
      <c r="P726" s="214">
        <f t="shared" si="32"/>
        <v>16250</v>
      </c>
      <c r="Q726" s="421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</row>
    <row r="727" spans="1:50" s="10" customFormat="1" ht="14">
      <c r="A727"/>
      <c r="B727"/>
      <c r="C727"/>
      <c r="D727" s="155"/>
      <c r="E727" s="196"/>
      <c r="F727" s="197"/>
      <c r="G727" s="197"/>
      <c r="H727" s="197"/>
      <c r="I727" s="197"/>
      <c r="J727" s="197"/>
      <c r="K727" s="197"/>
      <c r="L727" s="198"/>
      <c r="M727" s="199"/>
      <c r="N727" s="200"/>
      <c r="O727" s="246"/>
      <c r="P727" s="214">
        <f t="shared" si="32"/>
        <v>0</v>
      </c>
      <c r="Q727" s="421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</row>
    <row r="728" spans="1:50" s="10" customFormat="1" ht="14">
      <c r="A728"/>
      <c r="B728"/>
      <c r="C728"/>
      <c r="D728" s="155"/>
      <c r="E728" s="179"/>
      <c r="F728" s="180"/>
      <c r="G728" s="180"/>
      <c r="H728" s="180"/>
      <c r="I728" s="180"/>
      <c r="J728" s="180"/>
      <c r="K728" s="180"/>
      <c r="L728" s="181"/>
      <c r="M728" s="182"/>
      <c r="N728" s="183"/>
      <c r="O728" s="184"/>
      <c r="P728" s="185"/>
      <c r="Q728" s="185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</row>
    <row r="729" spans="1:50" s="10" customFormat="1" ht="14">
      <c r="A729"/>
      <c r="B729"/>
      <c r="C729"/>
      <c r="D729" s="155"/>
      <c r="E729" s="196"/>
      <c r="F729" s="197"/>
      <c r="G729" s="197"/>
      <c r="H729" s="197"/>
      <c r="I729" s="197"/>
      <c r="J729" s="197"/>
      <c r="K729" s="197"/>
      <c r="L729" s="198"/>
      <c r="M729" s="199"/>
      <c r="N729" s="200"/>
      <c r="O729" s="246"/>
      <c r="P729" s="214">
        <f>SUM(P698:P728)</f>
        <v>193900</v>
      </c>
      <c r="Q729" s="421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</row>
    <row r="730" spans="1:50" s="10" customFormat="1" ht="14">
      <c r="A730"/>
      <c r="B730"/>
      <c r="C730"/>
      <c r="D730" s="155"/>
      <c r="E730" s="154"/>
      <c r="F730" s="154"/>
      <c r="G730" s="154"/>
      <c r="H730" s="154"/>
      <c r="I730" s="154"/>
      <c r="J730" s="154"/>
      <c r="K730" s="154"/>
      <c r="L730" s="154"/>
      <c r="M730" s="156"/>
      <c r="N730" s="157"/>
      <c r="O730" s="158"/>
      <c r="P730" s="159"/>
      <c r="Q730" s="16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</row>
    <row r="731" spans="1:50" s="10" customFormat="1" ht="14">
      <c r="A731"/>
      <c r="B731"/>
      <c r="C731"/>
      <c r="D731" s="155"/>
      <c r="E731" s="258"/>
      <c r="F731" s="261"/>
      <c r="G731" s="261"/>
      <c r="H731" s="261"/>
      <c r="I731" s="261"/>
      <c r="J731" s="261"/>
      <c r="K731" s="261"/>
      <c r="L731" s="259"/>
      <c r="M731" s="259"/>
      <c r="N731" s="259"/>
      <c r="O731" s="259"/>
      <c r="P731" s="259"/>
      <c r="Q731" s="259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</row>
    <row r="732" spans="1:50" s="10" customFormat="1" ht="14">
      <c r="A732"/>
      <c r="B732"/>
      <c r="C732"/>
      <c r="D732" s="155"/>
      <c r="E732" s="261" t="str">
        <f>RECAP!F45</f>
        <v>WALKWAY CANOPIES</v>
      </c>
      <c r="F732" s="261"/>
      <c r="G732" s="261"/>
      <c r="H732" s="261"/>
      <c r="I732" s="261"/>
      <c r="J732" s="261"/>
      <c r="K732" s="261"/>
      <c r="L732" s="259"/>
      <c r="M732" s="259"/>
      <c r="N732" s="259"/>
      <c r="O732" s="259"/>
      <c r="P732" s="259"/>
      <c r="Q732" s="259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</row>
    <row r="733" spans="1:50" s="10" customFormat="1" ht="14">
      <c r="A733"/>
      <c r="B733"/>
      <c r="C733"/>
      <c r="D733" s="155"/>
      <c r="E733" s="154"/>
      <c r="F733" s="154"/>
      <c r="G733" s="154"/>
      <c r="H733" s="154"/>
      <c r="I733" s="154"/>
      <c r="J733" s="154"/>
      <c r="K733" s="154"/>
      <c r="L733" s="154"/>
      <c r="M733" s="156"/>
      <c r="N733" s="157"/>
      <c r="O733" s="158"/>
      <c r="P733" s="159"/>
      <c r="Q733" s="178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</row>
    <row r="734" spans="1:50" s="10" customFormat="1" ht="14">
      <c r="A734"/>
      <c r="B734"/>
      <c r="C734"/>
      <c r="D734" s="170"/>
      <c r="E734" s="171"/>
      <c r="F734" s="172"/>
      <c r="G734" s="172" t="s">
        <v>13</v>
      </c>
      <c r="H734" s="172"/>
      <c r="I734" s="172"/>
      <c r="J734" s="172"/>
      <c r="K734" s="172"/>
      <c r="L734" s="173"/>
      <c r="M734" s="174" t="s">
        <v>23</v>
      </c>
      <c r="N734" s="175" t="s">
        <v>151</v>
      </c>
      <c r="O734" s="176" t="s">
        <v>152</v>
      </c>
      <c r="P734" s="177" t="s">
        <v>153</v>
      </c>
      <c r="Q734" s="416" t="s">
        <v>17</v>
      </c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</row>
    <row r="735" spans="1:50" s="10" customFormat="1" ht="14">
      <c r="A735"/>
      <c r="B735"/>
      <c r="C735"/>
      <c r="D735" s="155"/>
      <c r="E735" s="179"/>
      <c r="F735" s="180"/>
      <c r="G735" s="180"/>
      <c r="H735" s="180"/>
      <c r="I735" s="180"/>
      <c r="J735" s="180"/>
      <c r="K735" s="180"/>
      <c r="L735" s="181"/>
      <c r="M735" s="182"/>
      <c r="N735" s="183"/>
      <c r="O735" s="184"/>
      <c r="P735" s="185"/>
      <c r="Q735" s="417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</row>
    <row r="736" spans="1:50" s="10" customFormat="1" ht="14.5" thickBot="1">
      <c r="A736"/>
      <c r="B736"/>
      <c r="C736"/>
      <c r="D736" s="148"/>
      <c r="E736" s="186" t="s">
        <v>154</v>
      </c>
      <c r="F736" s="187"/>
      <c r="G736" s="187"/>
      <c r="H736" s="187"/>
      <c r="I736" s="187"/>
      <c r="J736" s="187"/>
      <c r="K736" s="187"/>
      <c r="L736" s="188"/>
      <c r="M736" s="189"/>
      <c r="N736" s="190"/>
      <c r="O736" s="220"/>
      <c r="P736" s="221">
        <f>M736*O736</f>
        <v>0</v>
      </c>
      <c r="Q736" s="421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</row>
    <row r="737" spans="1:50" s="10" customFormat="1" ht="14.5" thickTop="1">
      <c r="A737"/>
      <c r="B737"/>
      <c r="C737"/>
      <c r="D737" s="155"/>
      <c r="E737" s="191"/>
      <c r="F737" s="192"/>
      <c r="G737" s="192"/>
      <c r="H737" s="192"/>
      <c r="I737" s="192"/>
      <c r="J737" s="192"/>
      <c r="K737" s="192"/>
      <c r="L737" s="193"/>
      <c r="M737" s="194"/>
      <c r="N737" s="195"/>
      <c r="O737" s="225"/>
      <c r="P737" s="226">
        <f>M737*O737</f>
        <v>0</v>
      </c>
      <c r="Q737" s="421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</row>
    <row r="738" spans="1:50" s="10" customFormat="1" ht="14">
      <c r="A738"/>
      <c r="B738"/>
      <c r="C738"/>
      <c r="D738" s="155"/>
      <c r="E738" s="196" t="s">
        <v>779</v>
      </c>
      <c r="F738" s="197"/>
      <c r="G738" s="197"/>
      <c r="H738" s="197"/>
      <c r="I738" s="197"/>
      <c r="J738" s="197"/>
      <c r="K738" s="197"/>
      <c r="L738" s="198"/>
      <c r="M738" s="199"/>
      <c r="N738" s="200" t="s">
        <v>5</v>
      </c>
      <c r="O738" s="222">
        <v>95</v>
      </c>
      <c r="P738" s="214">
        <f>M738*O738</f>
        <v>0</v>
      </c>
      <c r="Q738" s="421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</row>
    <row r="739" spans="1:50" s="10" customFormat="1" ht="14">
      <c r="A739"/>
      <c r="B739"/>
      <c r="C739"/>
      <c r="D739" s="155"/>
      <c r="E739" s="215"/>
      <c r="F739" s="197"/>
      <c r="G739" s="197"/>
      <c r="H739" s="197"/>
      <c r="I739" s="197"/>
      <c r="J739" s="197"/>
      <c r="K739" s="197"/>
      <c r="L739" s="198"/>
      <c r="M739" s="199"/>
      <c r="N739" s="200"/>
      <c r="O739" s="222"/>
      <c r="P739" s="214">
        <f t="shared" ref="P739:P740" si="34">M739*O739</f>
        <v>0</v>
      </c>
      <c r="Q739" s="421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</row>
    <row r="740" spans="1:50" s="10" customFormat="1" ht="14">
      <c r="A740"/>
      <c r="B740"/>
      <c r="C740"/>
      <c r="D740" s="155"/>
      <c r="E740" s="196"/>
      <c r="F740" s="197"/>
      <c r="G740" s="197"/>
      <c r="H740" s="197"/>
      <c r="I740" s="197"/>
      <c r="J740" s="197"/>
      <c r="K740" s="197"/>
      <c r="L740" s="198"/>
      <c r="M740" s="199"/>
      <c r="N740" s="200"/>
      <c r="O740" s="246"/>
      <c r="P740" s="214">
        <f t="shared" si="34"/>
        <v>0</v>
      </c>
      <c r="Q740" s="421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</row>
    <row r="741" spans="1:50" s="10" customFormat="1" ht="14">
      <c r="A741"/>
      <c r="B741"/>
      <c r="C741"/>
      <c r="D741" s="155"/>
      <c r="E741" s="179"/>
      <c r="F741" s="180"/>
      <c r="G741" s="180"/>
      <c r="H741" s="180"/>
      <c r="I741" s="180"/>
      <c r="J741" s="180"/>
      <c r="K741" s="180"/>
      <c r="L741" s="181"/>
      <c r="M741" s="182"/>
      <c r="N741" s="183"/>
      <c r="O741" s="184"/>
      <c r="P741" s="185"/>
      <c r="Q741" s="185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</row>
    <row r="742" spans="1:50" s="10" customFormat="1" ht="14">
      <c r="A742"/>
      <c r="B742"/>
      <c r="C742"/>
      <c r="D742" s="155"/>
      <c r="E742" s="196"/>
      <c r="F742" s="197"/>
      <c r="G742" s="197"/>
      <c r="H742" s="197"/>
      <c r="I742" s="197"/>
      <c r="J742" s="197"/>
      <c r="K742" s="197"/>
      <c r="L742" s="198"/>
      <c r="M742" s="199"/>
      <c r="N742" s="200"/>
      <c r="O742" s="246"/>
      <c r="P742" s="214">
        <f>SUM(P735:P741)</f>
        <v>0</v>
      </c>
      <c r="Q742" s="421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</row>
    <row r="743" spans="1:50" s="10" customFormat="1" ht="14">
      <c r="A743"/>
      <c r="B743"/>
      <c r="C743"/>
      <c r="D743" s="155"/>
      <c r="E743" s="154"/>
      <c r="F743" s="154"/>
      <c r="G743" s="154"/>
      <c r="H743" s="154"/>
      <c r="I743" s="154"/>
      <c r="J743" s="154"/>
      <c r="K743" s="154"/>
      <c r="L743" s="154"/>
      <c r="M743" s="156"/>
      <c r="N743" s="157"/>
      <c r="O743" s="158"/>
      <c r="P743" s="159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</row>
    <row r="744" spans="1:50" s="10" customFormat="1" ht="14">
      <c r="A744"/>
      <c r="B744"/>
      <c r="C744"/>
      <c r="D744" s="155"/>
      <c r="E744" s="168"/>
      <c r="F744" s="169"/>
      <c r="G744" s="169"/>
      <c r="H744" s="169"/>
      <c r="I744" s="169"/>
      <c r="J744" s="169"/>
      <c r="K744" s="169"/>
      <c r="L744" s="163"/>
      <c r="M744" s="164"/>
      <c r="N744" s="165"/>
      <c r="O744" s="166"/>
      <c r="P744" s="167"/>
      <c r="Q744" s="167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</row>
    <row r="745" spans="1:50" s="10" customFormat="1" ht="14">
      <c r="A745"/>
      <c r="B745"/>
      <c r="C745"/>
      <c r="D745" s="155"/>
      <c r="E745" s="168" t="str">
        <f>RECAP!F46</f>
        <v>LOCKERS</v>
      </c>
      <c r="F745" s="168"/>
      <c r="G745" s="168"/>
      <c r="H745" s="168"/>
      <c r="I745" s="168"/>
      <c r="J745" s="168"/>
      <c r="K745" s="168"/>
      <c r="L745" s="163"/>
      <c r="M745" s="164"/>
      <c r="N745" s="165"/>
      <c r="O745" s="166"/>
      <c r="P745" s="167"/>
      <c r="Q745" s="167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</row>
    <row r="746" spans="1:50" s="10" customFormat="1" ht="14">
      <c r="A746"/>
      <c r="B746"/>
      <c r="C746"/>
      <c r="D746" s="155"/>
      <c r="E746" s="154"/>
      <c r="F746" s="154"/>
      <c r="G746" s="154"/>
      <c r="H746" s="154"/>
      <c r="I746" s="154"/>
      <c r="J746" s="154"/>
      <c r="K746" s="154"/>
      <c r="L746" s="154"/>
      <c r="M746" s="156"/>
      <c r="N746" s="157"/>
      <c r="O746" s="158"/>
      <c r="P746" s="159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</row>
    <row r="747" spans="1:50" s="10" customFormat="1" ht="14">
      <c r="A747"/>
      <c r="B747"/>
      <c r="C747"/>
      <c r="D747" s="170"/>
      <c r="E747" s="171"/>
      <c r="F747" s="172"/>
      <c r="G747" s="172" t="s">
        <v>13</v>
      </c>
      <c r="H747" s="172"/>
      <c r="I747" s="172"/>
      <c r="J747" s="172"/>
      <c r="K747" s="172"/>
      <c r="L747" s="173"/>
      <c r="M747" s="174" t="s">
        <v>23</v>
      </c>
      <c r="N747" s="175" t="s">
        <v>151</v>
      </c>
      <c r="O747" s="176" t="s">
        <v>152</v>
      </c>
      <c r="P747" s="177" t="s">
        <v>153</v>
      </c>
      <c r="Q747" s="416" t="s">
        <v>17</v>
      </c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</row>
    <row r="748" spans="1:50" s="10" customFormat="1" ht="14">
      <c r="A748"/>
      <c r="B748"/>
      <c r="C748"/>
      <c r="D748" s="155"/>
      <c r="E748" s="179"/>
      <c r="F748" s="180"/>
      <c r="G748" s="180"/>
      <c r="H748" s="180"/>
      <c r="I748" s="180"/>
      <c r="J748" s="180"/>
      <c r="K748" s="180"/>
      <c r="L748" s="181"/>
      <c r="M748" s="182"/>
      <c r="N748" s="183"/>
      <c r="O748" s="184"/>
      <c r="P748" s="185"/>
      <c r="Q748" s="417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</row>
    <row r="749" spans="1:50" s="10" customFormat="1" ht="14.5" thickBot="1">
      <c r="A749"/>
      <c r="B749"/>
      <c r="C749"/>
      <c r="D749" s="148"/>
      <c r="E749" s="186" t="s">
        <v>154</v>
      </c>
      <c r="F749" s="187"/>
      <c r="G749" s="187"/>
      <c r="H749" s="187"/>
      <c r="I749" s="187"/>
      <c r="J749" s="187"/>
      <c r="K749" s="187"/>
      <c r="L749" s="188"/>
      <c r="M749" s="189"/>
      <c r="N749" s="190"/>
      <c r="O749" s="220"/>
      <c r="P749" s="221">
        <f>M749*O749</f>
        <v>0</v>
      </c>
      <c r="Q749" s="421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</row>
    <row r="750" spans="1:50" s="10" customFormat="1" ht="14.5" thickTop="1">
      <c r="A750"/>
      <c r="B750"/>
      <c r="C750"/>
      <c r="D750" s="155"/>
      <c r="E750" s="191"/>
      <c r="F750" s="192"/>
      <c r="G750" s="192"/>
      <c r="H750" s="192"/>
      <c r="I750" s="192"/>
      <c r="J750" s="192"/>
      <c r="K750" s="192"/>
      <c r="L750" s="193"/>
      <c r="M750" s="194"/>
      <c r="N750" s="195"/>
      <c r="O750" s="225"/>
      <c r="P750" s="226">
        <f>M750*O750</f>
        <v>0</v>
      </c>
      <c r="Q750" s="421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</row>
    <row r="751" spans="1:50" s="10" customFormat="1" ht="14">
      <c r="A751"/>
      <c r="B751"/>
      <c r="C751"/>
      <c r="D751" s="155"/>
      <c r="E751" s="196" t="s">
        <v>705</v>
      </c>
      <c r="F751" s="197"/>
      <c r="G751" s="197"/>
      <c r="H751" s="197"/>
      <c r="I751" s="197"/>
      <c r="J751" s="197"/>
      <c r="K751" s="197"/>
      <c r="L751" s="198"/>
      <c r="M751" s="199">
        <v>23</v>
      </c>
      <c r="N751" s="200" t="s">
        <v>162</v>
      </c>
      <c r="O751" s="222">
        <v>2200</v>
      </c>
      <c r="P751" s="214">
        <f>M751*O751</f>
        <v>50600</v>
      </c>
      <c r="Q751" s="42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</row>
    <row r="752" spans="1:50" s="10" customFormat="1" ht="14">
      <c r="A752"/>
      <c r="B752"/>
      <c r="C752"/>
      <c r="D752" s="155"/>
      <c r="E752" s="203"/>
      <c r="F752" s="197"/>
      <c r="G752" s="197"/>
      <c r="H752" s="197"/>
      <c r="I752" s="197"/>
      <c r="J752" s="197"/>
      <c r="K752" s="197"/>
      <c r="L752" s="198"/>
      <c r="M752" s="199"/>
      <c r="N752" s="200"/>
      <c r="O752" s="222"/>
      <c r="P752" s="214">
        <f t="shared" ref="P752:P756" si="35">M752*O752</f>
        <v>0</v>
      </c>
      <c r="Q752" s="421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</row>
    <row r="753" spans="1:50" s="10" customFormat="1" ht="14">
      <c r="A753"/>
      <c r="B753"/>
      <c r="C753"/>
      <c r="D753" s="155"/>
      <c r="E753" s="196" t="s">
        <v>706</v>
      </c>
      <c r="F753" s="197"/>
      <c r="G753" s="197"/>
      <c r="H753" s="197"/>
      <c r="I753" s="197"/>
      <c r="J753" s="197"/>
      <c r="K753" s="197"/>
      <c r="L753" s="198"/>
      <c r="M753" s="206">
        <v>36</v>
      </c>
      <c r="N753" s="200" t="s">
        <v>162</v>
      </c>
      <c r="O753" s="222">
        <v>650</v>
      </c>
      <c r="P753" s="214">
        <f t="shared" si="35"/>
        <v>23400</v>
      </c>
      <c r="Q753" s="421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</row>
    <row r="754" spans="1:50" s="10" customFormat="1" ht="14">
      <c r="A754"/>
      <c r="B754"/>
      <c r="C754"/>
      <c r="D754" s="155"/>
      <c r="E754" s="203"/>
      <c r="F754" s="197"/>
      <c r="G754" s="197"/>
      <c r="H754" s="197"/>
      <c r="I754" s="197"/>
      <c r="J754" s="197"/>
      <c r="K754" s="197"/>
      <c r="L754" s="198"/>
      <c r="M754" s="199"/>
      <c r="N754" s="200"/>
      <c r="O754" s="222"/>
      <c r="P754" s="214">
        <f t="shared" si="35"/>
        <v>0</v>
      </c>
      <c r="Q754" s="421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</row>
    <row r="755" spans="1:50" s="10" customFormat="1" ht="14">
      <c r="A755"/>
      <c r="B755"/>
      <c r="C755"/>
      <c r="D755" s="155"/>
      <c r="E755" s="196" t="s">
        <v>707</v>
      </c>
      <c r="F755" s="197"/>
      <c r="G755" s="197" t="s">
        <v>727</v>
      </c>
      <c r="H755" s="197"/>
      <c r="I755" s="197"/>
      <c r="J755" s="197"/>
      <c r="K755" s="197"/>
      <c r="L755" s="198"/>
      <c r="M755" s="206">
        <v>63</v>
      </c>
      <c r="N755" s="200" t="s">
        <v>162</v>
      </c>
      <c r="O755" s="222">
        <v>1500</v>
      </c>
      <c r="P755" s="214">
        <f t="shared" si="35"/>
        <v>94500</v>
      </c>
      <c r="Q755" s="421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</row>
    <row r="756" spans="1:50" s="10" customFormat="1" ht="14">
      <c r="A756"/>
      <c r="B756"/>
      <c r="C756"/>
      <c r="D756" s="155"/>
      <c r="E756" s="196"/>
      <c r="F756" s="197"/>
      <c r="G756" s="197"/>
      <c r="H756" s="197"/>
      <c r="I756" s="197"/>
      <c r="J756" s="197"/>
      <c r="K756" s="197"/>
      <c r="L756" s="198"/>
      <c r="M756" s="199"/>
      <c r="N756" s="200"/>
      <c r="O756" s="246"/>
      <c r="P756" s="214">
        <f t="shared" si="35"/>
        <v>0</v>
      </c>
      <c r="Q756" s="421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</row>
    <row r="757" spans="1:50" s="10" customFormat="1" ht="14">
      <c r="A757"/>
      <c r="B757"/>
      <c r="C757"/>
      <c r="D757" s="155"/>
      <c r="E757" s="179"/>
      <c r="F757" s="180"/>
      <c r="G757" s="180"/>
      <c r="H757" s="180"/>
      <c r="I757" s="180"/>
      <c r="J757" s="180"/>
      <c r="K757" s="180"/>
      <c r="L757" s="181"/>
      <c r="M757" s="182"/>
      <c r="N757" s="183"/>
      <c r="O757" s="184"/>
      <c r="P757" s="185"/>
      <c r="Q757" s="185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</row>
    <row r="758" spans="1:50" s="10" customFormat="1" ht="14">
      <c r="A758"/>
      <c r="B758"/>
      <c r="C758"/>
      <c r="D758" s="155"/>
      <c r="E758" s="196"/>
      <c r="F758" s="197"/>
      <c r="G758" s="197"/>
      <c r="H758" s="197"/>
      <c r="I758" s="197"/>
      <c r="J758" s="197"/>
      <c r="K758" s="197"/>
      <c r="L758" s="198"/>
      <c r="M758" s="199"/>
      <c r="N758" s="200"/>
      <c r="O758" s="246"/>
      <c r="P758" s="214">
        <f>SUM(P748:P757)</f>
        <v>168500</v>
      </c>
      <c r="Q758" s="421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</row>
    <row r="759" spans="1:50" s="10" customFormat="1" ht="14">
      <c r="A759"/>
      <c r="B759"/>
      <c r="C759"/>
      <c r="D759" s="155"/>
      <c r="E759" s="154"/>
      <c r="F759" s="154"/>
      <c r="G759" s="154"/>
      <c r="H759" s="154"/>
      <c r="I759" s="154"/>
      <c r="J759" s="154"/>
      <c r="K759" s="154"/>
      <c r="L759" s="154"/>
      <c r="M759" s="156"/>
      <c r="N759" s="157"/>
      <c r="O759" s="269"/>
      <c r="P759" s="269"/>
      <c r="Q759" s="160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</row>
    <row r="760" spans="1:50" s="10" customFormat="1" ht="14">
      <c r="A760"/>
      <c r="B760"/>
      <c r="C760"/>
      <c r="D760" s="155"/>
      <c r="E760" s="258"/>
      <c r="F760" s="261"/>
      <c r="G760" s="261"/>
      <c r="H760" s="261"/>
      <c r="I760" s="261"/>
      <c r="J760" s="261"/>
      <c r="K760" s="261"/>
      <c r="L760" s="259"/>
      <c r="M760" s="259"/>
      <c r="N760" s="259"/>
      <c r="O760" s="259"/>
      <c r="P760" s="259"/>
      <c r="Q760" s="259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</row>
    <row r="761" spans="1:50" s="10" customFormat="1" ht="14">
      <c r="A761"/>
      <c r="B761"/>
      <c r="C761"/>
      <c r="D761" s="155"/>
      <c r="E761" s="261" t="e">
        <f>RECAP!#REF!</f>
        <v>#REF!</v>
      </c>
      <c r="F761" s="261"/>
      <c r="G761" s="261"/>
      <c r="H761" s="261"/>
      <c r="I761" s="261"/>
      <c r="J761" s="261"/>
      <c r="K761" s="261"/>
      <c r="L761" s="259"/>
      <c r="M761" s="259"/>
      <c r="N761" s="259"/>
      <c r="O761" s="259"/>
      <c r="P761" s="259"/>
      <c r="Q761" s="259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</row>
    <row r="762" spans="1:50" s="10" customFormat="1" ht="14">
      <c r="A762"/>
      <c r="B762"/>
      <c r="C762"/>
      <c r="D762" s="155"/>
      <c r="E762" s="154"/>
      <c r="F762" s="154"/>
      <c r="G762" s="154"/>
      <c r="H762" s="154"/>
      <c r="I762" s="154"/>
      <c r="J762" s="154"/>
      <c r="K762" s="154"/>
      <c r="L762" s="154"/>
      <c r="M762" s="156"/>
      <c r="N762" s="157"/>
      <c r="O762" s="158"/>
      <c r="P762" s="159"/>
      <c r="Q762" s="178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</row>
    <row r="763" spans="1:50" s="10" customFormat="1" ht="14">
      <c r="A763"/>
      <c r="B763"/>
      <c r="C763"/>
      <c r="D763" s="170"/>
      <c r="E763" s="171"/>
      <c r="F763" s="172"/>
      <c r="G763" s="172" t="s">
        <v>13</v>
      </c>
      <c r="H763" s="172"/>
      <c r="I763" s="172"/>
      <c r="J763" s="172"/>
      <c r="K763" s="172"/>
      <c r="L763" s="173"/>
      <c r="M763" s="174" t="s">
        <v>23</v>
      </c>
      <c r="N763" s="175" t="s">
        <v>151</v>
      </c>
      <c r="O763" s="176" t="s">
        <v>152</v>
      </c>
      <c r="P763" s="177" t="s">
        <v>153</v>
      </c>
      <c r="Q763" s="416" t="s">
        <v>17</v>
      </c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</row>
    <row r="764" spans="1:50" s="10" customFormat="1" ht="14">
      <c r="A764"/>
      <c r="B764"/>
      <c r="C764"/>
      <c r="D764" s="155"/>
      <c r="E764" s="179"/>
      <c r="F764" s="180"/>
      <c r="G764" s="180"/>
      <c r="H764" s="180"/>
      <c r="I764" s="180"/>
      <c r="J764" s="180"/>
      <c r="K764" s="180"/>
      <c r="L764" s="181"/>
      <c r="M764" s="182"/>
      <c r="N764" s="183"/>
      <c r="O764" s="184"/>
      <c r="P764" s="185"/>
      <c r="Q764" s="417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</row>
    <row r="765" spans="1:50" s="10" customFormat="1" ht="14.5" thickBot="1">
      <c r="A765"/>
      <c r="B765"/>
      <c r="C765"/>
      <c r="D765" s="148"/>
      <c r="E765" s="186" t="s">
        <v>154</v>
      </c>
      <c r="F765" s="187"/>
      <c r="G765" s="187"/>
      <c r="H765" s="187"/>
      <c r="I765" s="187"/>
      <c r="J765" s="187"/>
      <c r="K765" s="187"/>
      <c r="L765" s="188"/>
      <c r="M765" s="189"/>
      <c r="N765" s="190"/>
      <c r="O765" s="220"/>
      <c r="P765" s="221">
        <f>M765*O765</f>
        <v>0</v>
      </c>
      <c r="Q765" s="421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</row>
    <row r="766" spans="1:50" s="10" customFormat="1" ht="14.5" thickTop="1">
      <c r="A766"/>
      <c r="B766"/>
      <c r="C766"/>
      <c r="D766" s="155"/>
      <c r="E766" s="191"/>
      <c r="F766" s="192"/>
      <c r="G766" s="192"/>
      <c r="H766" s="192"/>
      <c r="I766" s="192"/>
      <c r="J766" s="192"/>
      <c r="K766" s="192"/>
      <c r="L766" s="193"/>
      <c r="M766" s="194"/>
      <c r="N766" s="195"/>
      <c r="O766" s="225"/>
      <c r="P766" s="226">
        <f>M766*O766</f>
        <v>0</v>
      </c>
      <c r="Q766" s="421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</row>
    <row r="767" spans="1:50" s="10" customFormat="1" ht="14">
      <c r="A767"/>
      <c r="B767"/>
      <c r="C767"/>
      <c r="D767" s="155"/>
      <c r="E767" s="196"/>
      <c r="F767" s="197"/>
      <c r="G767" s="197"/>
      <c r="H767" s="197"/>
      <c r="I767" s="197"/>
      <c r="J767" s="197"/>
      <c r="K767" s="197"/>
      <c r="L767" s="198"/>
      <c r="M767" s="199"/>
      <c r="N767" s="200"/>
      <c r="O767" s="246"/>
      <c r="P767" s="214">
        <f>M767*O767</f>
        <v>0</v>
      </c>
      <c r="Q767" s="421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</row>
    <row r="768" spans="1:50" s="10" customFormat="1" ht="14">
      <c r="A768"/>
      <c r="B768"/>
      <c r="C768"/>
      <c r="D768" s="155"/>
      <c r="E768" s="215"/>
      <c r="F768" s="197"/>
      <c r="G768" s="197"/>
      <c r="H768" s="197"/>
      <c r="I768" s="197"/>
      <c r="J768" s="197"/>
      <c r="K768" s="197"/>
      <c r="L768" s="198"/>
      <c r="M768" s="199"/>
      <c r="N768" s="200"/>
      <c r="O768" s="222"/>
      <c r="P768" s="214">
        <f t="shared" ref="P768:P774" si="36">M768*O768</f>
        <v>0</v>
      </c>
      <c r="Q768" s="421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</row>
    <row r="769" spans="1:50" s="10" customFormat="1" ht="14">
      <c r="A769"/>
      <c r="B769"/>
      <c r="C769"/>
      <c r="D769" s="155"/>
      <c r="E769" s="215"/>
      <c r="F769" s="197"/>
      <c r="G769" s="197"/>
      <c r="H769" s="197"/>
      <c r="I769" s="197"/>
      <c r="J769" s="197"/>
      <c r="K769" s="197"/>
      <c r="L769" s="198"/>
      <c r="M769" s="199"/>
      <c r="N769" s="200"/>
      <c r="O769" s="222"/>
      <c r="P769" s="214">
        <f t="shared" si="36"/>
        <v>0</v>
      </c>
      <c r="Q769" s="421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</row>
    <row r="770" spans="1:50" s="10" customFormat="1" ht="14">
      <c r="A770"/>
      <c r="B770"/>
      <c r="C770"/>
      <c r="D770" s="155"/>
      <c r="E770" s="218"/>
      <c r="F770" s="197"/>
      <c r="G770" s="197"/>
      <c r="H770" s="197"/>
      <c r="I770" s="197"/>
      <c r="J770" s="197"/>
      <c r="K770" s="197"/>
      <c r="L770" s="198"/>
      <c r="M770" s="199"/>
      <c r="N770" s="200"/>
      <c r="O770" s="222"/>
      <c r="P770" s="214">
        <f t="shared" si="36"/>
        <v>0</v>
      </c>
      <c r="Q770" s="421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</row>
    <row r="771" spans="1:50" s="10" customFormat="1" ht="14">
      <c r="A771"/>
      <c r="B771"/>
      <c r="C771"/>
      <c r="D771" s="155"/>
      <c r="E771" s="203"/>
      <c r="F771" s="197"/>
      <c r="G771" s="197"/>
      <c r="H771" s="197"/>
      <c r="I771" s="197"/>
      <c r="J771" s="197"/>
      <c r="K771" s="197"/>
      <c r="L771" s="198"/>
      <c r="M771" s="199"/>
      <c r="N771" s="200"/>
      <c r="O771" s="222"/>
      <c r="P771" s="214">
        <f t="shared" si="36"/>
        <v>0</v>
      </c>
      <c r="Q771" s="42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</row>
    <row r="772" spans="1:50" s="10" customFormat="1" ht="14">
      <c r="A772"/>
      <c r="B772"/>
      <c r="C772"/>
      <c r="D772" s="155"/>
      <c r="E772" s="203"/>
      <c r="F772" s="197"/>
      <c r="G772" s="197"/>
      <c r="H772" s="197"/>
      <c r="I772" s="197"/>
      <c r="J772" s="197"/>
      <c r="K772" s="197"/>
      <c r="L772" s="198"/>
      <c r="M772" s="199"/>
      <c r="N772" s="200"/>
      <c r="O772" s="222"/>
      <c r="P772" s="214">
        <f t="shared" si="36"/>
        <v>0</v>
      </c>
      <c r="Q772" s="421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</row>
    <row r="773" spans="1:50" s="10" customFormat="1" ht="14">
      <c r="A773"/>
      <c r="B773"/>
      <c r="C773"/>
      <c r="D773" s="155"/>
      <c r="E773" s="203"/>
      <c r="F773" s="197"/>
      <c r="G773" s="197"/>
      <c r="H773" s="197"/>
      <c r="I773" s="197"/>
      <c r="J773" s="197"/>
      <c r="K773" s="197"/>
      <c r="L773" s="198"/>
      <c r="M773" s="199"/>
      <c r="N773" s="200"/>
      <c r="O773" s="246"/>
      <c r="P773" s="214">
        <f t="shared" si="36"/>
        <v>0</v>
      </c>
      <c r="Q773" s="421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</row>
    <row r="774" spans="1:50" s="10" customFormat="1" ht="14">
      <c r="A774"/>
      <c r="B774"/>
      <c r="C774"/>
      <c r="D774" s="155"/>
      <c r="E774" s="196"/>
      <c r="F774" s="197"/>
      <c r="G774" s="197"/>
      <c r="H774" s="197"/>
      <c r="I774" s="197"/>
      <c r="J774" s="197"/>
      <c r="K774" s="197"/>
      <c r="L774" s="198"/>
      <c r="M774" s="199"/>
      <c r="N774" s="200"/>
      <c r="O774" s="246"/>
      <c r="P774" s="214">
        <f t="shared" si="36"/>
        <v>0</v>
      </c>
      <c r="Q774" s="421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</row>
    <row r="775" spans="1:50" s="10" customFormat="1" ht="14">
      <c r="A775"/>
      <c r="B775"/>
      <c r="C775"/>
      <c r="D775" s="155"/>
      <c r="E775" s="179"/>
      <c r="F775" s="180"/>
      <c r="G775" s="180"/>
      <c r="H775" s="180"/>
      <c r="I775" s="180"/>
      <c r="J775" s="180"/>
      <c r="K775" s="180"/>
      <c r="L775" s="181"/>
      <c r="M775" s="182"/>
      <c r="N775" s="183"/>
      <c r="O775" s="184"/>
      <c r="P775" s="185"/>
      <c r="Q775" s="18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</row>
    <row r="776" spans="1:50" s="10" customFormat="1" ht="14">
      <c r="A776"/>
      <c r="B776"/>
      <c r="C776"/>
      <c r="D776" s="155"/>
      <c r="E776" s="196"/>
      <c r="F776" s="197"/>
      <c r="G776" s="197"/>
      <c r="H776" s="197"/>
      <c r="I776" s="197"/>
      <c r="J776" s="197"/>
      <c r="K776" s="197"/>
      <c r="L776" s="198"/>
      <c r="M776" s="199"/>
      <c r="N776" s="200"/>
      <c r="O776" s="246"/>
      <c r="P776" s="214">
        <f>SUM(P764:P775)</f>
        <v>0</v>
      </c>
      <c r="Q776" s="421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</row>
    <row r="777" spans="1:50" ht="14">
      <c r="Q777" s="160"/>
    </row>
    <row r="778" spans="1:50" s="10" customFormat="1" ht="14.5">
      <c r="A778" s="6"/>
      <c r="B778" s="6"/>
      <c r="C778" s="6"/>
      <c r="D778" s="148"/>
      <c r="E778" s="147"/>
      <c r="F778" s="147" t="s">
        <v>95</v>
      </c>
      <c r="G778" s="147"/>
      <c r="H778" s="147"/>
      <c r="I778" s="147"/>
      <c r="J778" s="147"/>
      <c r="K778" s="147"/>
      <c r="L778" s="147"/>
      <c r="M778" s="149"/>
      <c r="N778" s="150"/>
      <c r="O778" s="151"/>
      <c r="P778" s="152"/>
      <c r="Q778" s="152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</row>
    <row r="779" spans="1:50" s="10" customFormat="1" ht="14">
      <c r="A779"/>
      <c r="B779"/>
      <c r="C779"/>
      <c r="D779" s="155"/>
      <c r="E779" s="154"/>
      <c r="F779" s="154"/>
      <c r="G779" s="154"/>
      <c r="H779" s="154"/>
      <c r="I779" s="154"/>
      <c r="J779" s="154"/>
      <c r="K779" s="154"/>
      <c r="L779" s="154"/>
      <c r="M779" s="156"/>
      <c r="N779" s="157"/>
      <c r="O779" s="158"/>
      <c r="P779" s="159"/>
      <c r="Q779" s="160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</row>
    <row r="780" spans="1:50" s="10" customFormat="1" ht="14">
      <c r="A780"/>
      <c r="B780"/>
      <c r="C780"/>
      <c r="D780" s="155"/>
      <c r="E780" s="275"/>
      <c r="F780" s="259"/>
      <c r="G780" s="259"/>
      <c r="H780" s="259"/>
      <c r="I780" s="259"/>
      <c r="J780" s="259"/>
      <c r="K780" s="259"/>
      <c r="L780" s="259"/>
      <c r="M780" s="259"/>
      <c r="N780" s="259"/>
      <c r="O780" s="259"/>
      <c r="P780" s="259"/>
      <c r="Q780" s="259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</row>
    <row r="781" spans="1:50" s="10" customFormat="1" ht="14">
      <c r="A781"/>
      <c r="B781"/>
      <c r="C781"/>
      <c r="D781" s="155"/>
      <c r="E781" s="260" t="str">
        <f>RECAP!F48</f>
        <v>DETENTION EQUIPMENT</v>
      </c>
      <c r="F781" s="259"/>
      <c r="G781" s="259"/>
      <c r="H781" s="259"/>
      <c r="I781" s="259"/>
      <c r="J781" s="259"/>
      <c r="K781" s="259"/>
      <c r="L781" s="259"/>
      <c r="M781" s="259"/>
      <c r="N781" s="259"/>
      <c r="O781" s="259"/>
      <c r="P781" s="259"/>
      <c r="Q781" s="259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</row>
    <row r="782" spans="1:50" s="10" customFormat="1" ht="14">
      <c r="A782"/>
      <c r="B782"/>
      <c r="C782"/>
      <c r="D782" s="155"/>
      <c r="E782" s="154"/>
      <c r="F782" s="154"/>
      <c r="G782" s="154"/>
      <c r="H782" s="154"/>
      <c r="I782" s="154"/>
      <c r="J782" s="154"/>
      <c r="K782" s="154"/>
      <c r="L782" s="154"/>
      <c r="M782" s="156"/>
      <c r="N782" s="157"/>
      <c r="O782" s="158"/>
      <c r="P782" s="159"/>
      <c r="Q782" s="178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</row>
    <row r="783" spans="1:50" s="10" customFormat="1" ht="14">
      <c r="A783"/>
      <c r="B783"/>
      <c r="C783"/>
      <c r="D783" s="170"/>
      <c r="E783" s="171"/>
      <c r="F783" s="172"/>
      <c r="G783" s="172" t="s">
        <v>13</v>
      </c>
      <c r="H783" s="172"/>
      <c r="I783" s="172"/>
      <c r="J783" s="172"/>
      <c r="K783" s="172"/>
      <c r="L783" s="173"/>
      <c r="M783" s="174" t="s">
        <v>23</v>
      </c>
      <c r="N783" s="175" t="s">
        <v>151</v>
      </c>
      <c r="O783" s="176" t="s">
        <v>152</v>
      </c>
      <c r="P783" s="177" t="s">
        <v>153</v>
      </c>
      <c r="Q783" s="416" t="s">
        <v>17</v>
      </c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</row>
    <row r="784" spans="1:50" s="10" customFormat="1" ht="14">
      <c r="A784"/>
      <c r="B784"/>
      <c r="C784"/>
      <c r="D784" s="155"/>
      <c r="E784" s="179"/>
      <c r="F784" s="180"/>
      <c r="G784" s="180"/>
      <c r="H784" s="180"/>
      <c r="I784" s="180"/>
      <c r="J784" s="180"/>
      <c r="K784" s="180"/>
      <c r="L784" s="181"/>
      <c r="M784" s="182"/>
      <c r="N784" s="183"/>
      <c r="O784" s="184"/>
      <c r="P784" s="185"/>
      <c r="Q784" s="417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</row>
    <row r="785" spans="1:50" s="10" customFormat="1" ht="14.5" thickBot="1">
      <c r="A785"/>
      <c r="B785"/>
      <c r="C785"/>
      <c r="D785" s="148"/>
      <c r="E785" s="186" t="s">
        <v>154</v>
      </c>
      <c r="F785" s="187"/>
      <c r="G785" s="187"/>
      <c r="H785" s="187"/>
      <c r="I785" s="187"/>
      <c r="J785" s="187"/>
      <c r="K785" s="187"/>
      <c r="L785" s="188"/>
      <c r="M785" s="189"/>
      <c r="N785" s="190"/>
      <c r="O785" s="220"/>
      <c r="P785" s="221">
        <f>M785*O785</f>
        <v>0</v>
      </c>
      <c r="Q785" s="421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</row>
    <row r="786" spans="1:50" s="10" customFormat="1" ht="14.5" thickTop="1">
      <c r="A786"/>
      <c r="B786"/>
      <c r="C786"/>
      <c r="D786" s="148"/>
      <c r="E786" s="191"/>
      <c r="F786" s="192"/>
      <c r="G786" s="192"/>
      <c r="H786" s="192"/>
      <c r="I786" s="192"/>
      <c r="J786" s="192"/>
      <c r="K786" s="192"/>
      <c r="L786" s="193"/>
      <c r="M786" s="194"/>
      <c r="N786" s="195"/>
      <c r="O786" s="225"/>
      <c r="P786" s="226">
        <f>M786*O786</f>
        <v>0</v>
      </c>
      <c r="Q786" s="421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</row>
    <row r="787" spans="1:50" s="10" customFormat="1" ht="14">
      <c r="A787"/>
      <c r="B787"/>
      <c r="C787"/>
      <c r="D787" s="148"/>
      <c r="E787" s="196"/>
      <c r="F787" s="197"/>
      <c r="G787" s="197"/>
      <c r="H787" s="197"/>
      <c r="I787" s="197"/>
      <c r="J787" s="197"/>
      <c r="K787" s="197"/>
      <c r="L787" s="198"/>
      <c r="M787" s="199"/>
      <c r="N787" s="200"/>
      <c r="O787" s="246"/>
      <c r="P787" s="214">
        <f>M787*O787</f>
        <v>0</v>
      </c>
      <c r="Q787" s="421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</row>
    <row r="788" spans="1:50" s="10" customFormat="1" ht="14">
      <c r="A788"/>
      <c r="B788"/>
      <c r="C788"/>
      <c r="D788" s="148"/>
      <c r="E788" s="203" t="s">
        <v>711</v>
      </c>
      <c r="F788" s="197"/>
      <c r="G788" s="197"/>
      <c r="H788" s="197"/>
      <c r="I788" s="197"/>
      <c r="J788" s="197"/>
      <c r="K788" s="197"/>
      <c r="L788" s="198"/>
      <c r="M788" s="199">
        <v>4</v>
      </c>
      <c r="N788" s="200" t="s">
        <v>162</v>
      </c>
      <c r="O788" s="246">
        <v>30000</v>
      </c>
      <c r="P788" s="214">
        <f t="shared" ref="P788:P797" si="37">M788*O788</f>
        <v>120000</v>
      </c>
      <c r="Q788" s="421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</row>
    <row r="789" spans="1:50" s="10" customFormat="1" ht="14">
      <c r="A789"/>
      <c r="B789"/>
      <c r="C789"/>
      <c r="D789" s="155"/>
      <c r="E789" s="203" t="s">
        <v>712</v>
      </c>
      <c r="F789" s="197"/>
      <c r="G789" s="197"/>
      <c r="H789" s="197"/>
      <c r="I789" s="197"/>
      <c r="J789" s="197"/>
      <c r="K789" s="197"/>
      <c r="L789" s="198"/>
      <c r="M789" s="199">
        <v>4</v>
      </c>
      <c r="N789" s="200" t="s">
        <v>162</v>
      </c>
      <c r="O789" s="246">
        <v>25000</v>
      </c>
      <c r="P789" s="214">
        <f t="shared" si="37"/>
        <v>100000</v>
      </c>
      <c r="Q789" s="421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</row>
    <row r="790" spans="1:50" s="10" customFormat="1" ht="14">
      <c r="A790"/>
      <c r="B790"/>
      <c r="C790"/>
      <c r="D790" s="155"/>
      <c r="E790" s="203" t="s">
        <v>783</v>
      </c>
      <c r="F790" s="197"/>
      <c r="G790" s="197"/>
      <c r="H790" s="197"/>
      <c r="I790" s="197"/>
      <c r="J790" s="197"/>
      <c r="K790" s="197"/>
      <c r="L790" s="198"/>
      <c r="M790" s="199">
        <v>1</v>
      </c>
      <c r="N790" s="200" t="s">
        <v>162</v>
      </c>
      <c r="O790" s="246">
        <v>7500</v>
      </c>
      <c r="P790" s="214">
        <f t="shared" si="37"/>
        <v>7500</v>
      </c>
      <c r="Q790" s="421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</row>
    <row r="791" spans="1:50" s="10" customFormat="1" ht="14">
      <c r="A791"/>
      <c r="B791"/>
      <c r="C791"/>
      <c r="D791" s="148"/>
      <c r="E791" s="203" t="s">
        <v>821</v>
      </c>
      <c r="F791" s="197"/>
      <c r="G791" s="197"/>
      <c r="H791" s="197"/>
      <c r="I791" s="197"/>
      <c r="J791" s="197"/>
      <c r="K791" s="197"/>
      <c r="L791" s="198"/>
      <c r="M791" s="199">
        <v>1</v>
      </c>
      <c r="N791" s="200" t="s">
        <v>782</v>
      </c>
      <c r="O791" s="246">
        <v>100000</v>
      </c>
      <c r="P791" s="214">
        <f t="shared" si="37"/>
        <v>100000</v>
      </c>
      <c r="Q791" s="42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</row>
    <row r="792" spans="1:50" s="10" customFormat="1" ht="14">
      <c r="A792"/>
      <c r="B792"/>
      <c r="C792"/>
      <c r="D792" s="155"/>
      <c r="E792" s="203" t="s">
        <v>822</v>
      </c>
      <c r="F792" s="197"/>
      <c r="G792" s="197"/>
      <c r="H792" s="197"/>
      <c r="I792" s="197"/>
      <c r="J792" s="197"/>
      <c r="K792" s="197"/>
      <c r="L792" s="198"/>
      <c r="M792" s="199">
        <v>2</v>
      </c>
      <c r="N792" s="200" t="s">
        <v>162</v>
      </c>
      <c r="O792" s="246">
        <v>20000</v>
      </c>
      <c r="P792" s="214">
        <f t="shared" si="37"/>
        <v>40000</v>
      </c>
      <c r="Q792" s="421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</row>
    <row r="793" spans="1:50" s="10" customFormat="1" ht="14">
      <c r="A793"/>
      <c r="B793"/>
      <c r="C793"/>
      <c r="D793" s="155"/>
      <c r="E793" s="203" t="s">
        <v>713</v>
      </c>
      <c r="F793" s="197"/>
      <c r="G793" s="197"/>
      <c r="H793" s="197"/>
      <c r="I793" s="197"/>
      <c r="J793" s="197"/>
      <c r="K793" s="197"/>
      <c r="L793" s="198"/>
      <c r="M793" s="199">
        <v>1</v>
      </c>
      <c r="N793" s="200" t="s">
        <v>164</v>
      </c>
      <c r="O793" s="246">
        <v>20000</v>
      </c>
      <c r="P793" s="214">
        <f t="shared" si="37"/>
        <v>20000</v>
      </c>
      <c r="Q793" s="421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</row>
    <row r="794" spans="1:50" s="10" customFormat="1" ht="14">
      <c r="A794"/>
      <c r="B794"/>
      <c r="C794"/>
      <c r="D794" s="155"/>
      <c r="E794" s="203" t="s">
        <v>708</v>
      </c>
      <c r="F794" s="197"/>
      <c r="G794" s="197"/>
      <c r="H794" s="197"/>
      <c r="I794" s="197"/>
      <c r="J794" s="197"/>
      <c r="K794" s="197"/>
      <c r="L794" s="198"/>
      <c r="M794" s="199">
        <v>1</v>
      </c>
      <c r="N794" s="200" t="s">
        <v>164</v>
      </c>
      <c r="O794" s="246">
        <v>15000</v>
      </c>
      <c r="P794" s="214">
        <f t="shared" si="37"/>
        <v>15000</v>
      </c>
      <c r="Q794" s="421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</row>
    <row r="795" spans="1:50" s="10" customFormat="1" ht="14">
      <c r="A795"/>
      <c r="B795"/>
      <c r="C795"/>
      <c r="D795" s="155"/>
      <c r="E795" s="203" t="s">
        <v>709</v>
      </c>
      <c r="F795" s="197"/>
      <c r="G795" s="197"/>
      <c r="H795" s="197"/>
      <c r="I795" s="197"/>
      <c r="J795" s="197"/>
      <c r="K795" s="197"/>
      <c r="L795" s="198"/>
      <c r="M795" s="199">
        <v>3</v>
      </c>
      <c r="N795" s="200" t="s">
        <v>162</v>
      </c>
      <c r="O795" s="246">
        <v>2500</v>
      </c>
      <c r="P795" s="214">
        <f t="shared" si="37"/>
        <v>7500</v>
      </c>
      <c r="Q795" s="421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</row>
    <row r="796" spans="1:50" s="10" customFormat="1" ht="14">
      <c r="A796"/>
      <c r="B796"/>
      <c r="C796"/>
      <c r="D796" s="155"/>
      <c r="E796" s="203" t="s">
        <v>710</v>
      </c>
      <c r="F796" s="197"/>
      <c r="G796" s="197"/>
      <c r="H796" s="197"/>
      <c r="I796" s="197"/>
      <c r="J796" s="197"/>
      <c r="K796" s="197"/>
      <c r="L796" s="198"/>
      <c r="M796" s="199">
        <v>1</v>
      </c>
      <c r="N796" s="200" t="s">
        <v>164</v>
      </c>
      <c r="O796" s="246">
        <v>12000</v>
      </c>
      <c r="P796" s="214">
        <f t="shared" si="37"/>
        <v>12000</v>
      </c>
      <c r="Q796" s="421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</row>
    <row r="797" spans="1:50" s="10" customFormat="1" ht="14">
      <c r="A797"/>
      <c r="B797"/>
      <c r="C797"/>
      <c r="D797" s="155"/>
      <c r="E797" s="196"/>
      <c r="F797" s="197"/>
      <c r="G797" s="197"/>
      <c r="H797" s="197"/>
      <c r="I797" s="197"/>
      <c r="J797" s="197"/>
      <c r="K797" s="197"/>
      <c r="L797" s="198"/>
      <c r="M797" s="199"/>
      <c r="N797" s="200"/>
      <c r="O797" s="246"/>
      <c r="P797" s="214">
        <f t="shared" si="37"/>
        <v>0</v>
      </c>
      <c r="Q797" s="421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</row>
    <row r="798" spans="1:50" s="10" customFormat="1" ht="14">
      <c r="A798"/>
      <c r="B798"/>
      <c r="C798"/>
      <c r="D798" s="155"/>
      <c r="E798" s="179"/>
      <c r="F798" s="180"/>
      <c r="G798" s="180"/>
      <c r="H798" s="180"/>
      <c r="I798" s="180"/>
      <c r="J798" s="180"/>
      <c r="K798" s="180"/>
      <c r="L798" s="181"/>
      <c r="M798" s="182"/>
      <c r="N798" s="183"/>
      <c r="O798" s="184"/>
      <c r="P798" s="185"/>
      <c r="Q798" s="185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</row>
    <row r="799" spans="1:50" s="10" customFormat="1" ht="14">
      <c r="A799"/>
      <c r="B799"/>
      <c r="C799"/>
      <c r="D799" s="155"/>
      <c r="E799" s="196"/>
      <c r="F799" s="197"/>
      <c r="G799" s="197"/>
      <c r="H799" s="197"/>
      <c r="I799" s="197"/>
      <c r="J799" s="197"/>
      <c r="K799" s="197"/>
      <c r="L799" s="198"/>
      <c r="M799" s="199"/>
      <c r="N799" s="200"/>
      <c r="O799" s="246"/>
      <c r="P799" s="214">
        <f>SUM(P784:P798)</f>
        <v>422000</v>
      </c>
      <c r="Q799" s="421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</row>
    <row r="800" spans="1:50" s="10" customFormat="1" ht="14">
      <c r="A800"/>
      <c r="B800"/>
      <c r="C800"/>
      <c r="D800" s="155"/>
      <c r="E800" s="154"/>
      <c r="F800" s="154"/>
      <c r="G800" s="154"/>
      <c r="H800" s="154"/>
      <c r="I800" s="154"/>
      <c r="J800" s="154"/>
      <c r="K800" s="154"/>
      <c r="L800" s="154"/>
      <c r="M800" s="156"/>
      <c r="N800" s="157"/>
      <c r="O800" s="158"/>
      <c r="P800" s="159"/>
      <c r="Q800" s="16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</row>
    <row r="801" spans="1:50" s="10" customFormat="1" ht="14">
      <c r="A801"/>
      <c r="B801"/>
      <c r="C801"/>
      <c r="D801" s="155"/>
      <c r="E801" s="168"/>
      <c r="F801" s="169"/>
      <c r="G801" s="169"/>
      <c r="H801" s="169"/>
      <c r="I801" s="169"/>
      <c r="J801" s="169"/>
      <c r="K801" s="169"/>
      <c r="L801" s="163"/>
      <c r="M801" s="164"/>
      <c r="N801" s="165"/>
      <c r="O801" s="166"/>
      <c r="P801" s="167"/>
      <c r="Q801" s="167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</row>
    <row r="802" spans="1:50" s="10" customFormat="1" ht="14">
      <c r="A802"/>
      <c r="B802"/>
      <c r="C802"/>
      <c r="D802" s="155"/>
      <c r="E802" s="168" t="str">
        <f>RECAP!F49</f>
        <v>LAB CASEWORK</v>
      </c>
      <c r="F802" s="168"/>
      <c r="G802" s="168"/>
      <c r="H802" s="168"/>
      <c r="I802" s="168"/>
      <c r="J802" s="168"/>
      <c r="K802" s="168"/>
      <c r="L802" s="163"/>
      <c r="M802" s="164"/>
      <c r="N802" s="165"/>
      <c r="O802" s="166"/>
      <c r="P802" s="167"/>
      <c r="Q802" s="167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</row>
    <row r="803" spans="1:50" s="10" customFormat="1" ht="14">
      <c r="A803"/>
      <c r="B803"/>
      <c r="C803"/>
      <c r="D803" s="155"/>
      <c r="E803" s="154"/>
      <c r="F803" s="154"/>
      <c r="G803" s="154"/>
      <c r="H803" s="154"/>
      <c r="I803" s="154"/>
      <c r="J803" s="154"/>
      <c r="K803" s="154"/>
      <c r="L803" s="154"/>
      <c r="M803" s="156"/>
      <c r="N803" s="157"/>
      <c r="O803" s="158"/>
      <c r="P803" s="159"/>
      <c r="Q803" s="160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</row>
    <row r="804" spans="1:50" s="10" customFormat="1" ht="14">
      <c r="A804"/>
      <c r="B804"/>
      <c r="C804"/>
      <c r="D804" s="170"/>
      <c r="E804" s="171"/>
      <c r="F804" s="172"/>
      <c r="G804" s="172" t="s">
        <v>13</v>
      </c>
      <c r="H804" s="172"/>
      <c r="I804" s="172"/>
      <c r="J804" s="172"/>
      <c r="K804" s="172"/>
      <c r="L804" s="173"/>
      <c r="M804" s="174" t="s">
        <v>23</v>
      </c>
      <c r="N804" s="175" t="s">
        <v>151</v>
      </c>
      <c r="O804" s="176" t="s">
        <v>152</v>
      </c>
      <c r="P804" s="177" t="s">
        <v>153</v>
      </c>
      <c r="Q804" s="416" t="s">
        <v>17</v>
      </c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</row>
    <row r="805" spans="1:50" s="10" customFormat="1" ht="14">
      <c r="A805"/>
      <c r="B805"/>
      <c r="C805"/>
      <c r="D805" s="155"/>
      <c r="E805" s="179"/>
      <c r="F805" s="180"/>
      <c r="G805" s="180"/>
      <c r="H805" s="180"/>
      <c r="I805" s="180"/>
      <c r="J805" s="180"/>
      <c r="K805" s="180"/>
      <c r="L805" s="181"/>
      <c r="M805" s="182"/>
      <c r="N805" s="183"/>
      <c r="O805" s="184"/>
      <c r="P805" s="185"/>
      <c r="Q805" s="417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</row>
    <row r="806" spans="1:50" s="10" customFormat="1" ht="14.5" thickBot="1">
      <c r="A806"/>
      <c r="B806"/>
      <c r="C806"/>
      <c r="D806" s="148"/>
      <c r="E806" s="186" t="s">
        <v>154</v>
      </c>
      <c r="F806" s="187"/>
      <c r="G806" s="187"/>
      <c r="H806" s="187"/>
      <c r="I806" s="187"/>
      <c r="J806" s="187"/>
      <c r="K806" s="187"/>
      <c r="L806" s="188"/>
      <c r="M806" s="189"/>
      <c r="N806" s="190"/>
      <c r="O806" s="220"/>
      <c r="P806" s="221">
        <f>M806*O806</f>
        <v>0</v>
      </c>
      <c r="Q806" s="421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</row>
    <row r="807" spans="1:50" s="10" customFormat="1" ht="14.5" thickTop="1">
      <c r="A807"/>
      <c r="B807"/>
      <c r="C807"/>
      <c r="D807" s="155"/>
      <c r="E807" s="191"/>
      <c r="F807" s="192"/>
      <c r="G807" s="192"/>
      <c r="H807" s="192"/>
      <c r="I807" s="192"/>
      <c r="J807" s="192"/>
      <c r="K807" s="192"/>
      <c r="L807" s="193"/>
      <c r="M807" s="194"/>
      <c r="N807" s="195"/>
      <c r="O807" s="253"/>
      <c r="P807" s="226">
        <f>M807*O807</f>
        <v>0</v>
      </c>
      <c r="Q807" s="421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</row>
    <row r="808" spans="1:50" s="10" customFormat="1" ht="14">
      <c r="A808"/>
      <c r="B808"/>
      <c r="C808"/>
      <c r="D808" s="155"/>
      <c r="E808" s="215" t="s">
        <v>732</v>
      </c>
      <c r="F808" s="197"/>
      <c r="G808" s="197"/>
      <c r="H808" s="197"/>
      <c r="I808" s="197"/>
      <c r="J808" s="197"/>
      <c r="K808" s="197"/>
      <c r="L808" s="198"/>
      <c r="M808" s="199">
        <v>1</v>
      </c>
      <c r="N808" s="200" t="s">
        <v>164</v>
      </c>
      <c r="O808" s="222">
        <v>75000</v>
      </c>
      <c r="P808" s="214">
        <f>M808*O808</f>
        <v>75000</v>
      </c>
      <c r="Q808" s="421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</row>
    <row r="809" spans="1:50" s="10" customFormat="1" ht="14">
      <c r="A809"/>
      <c r="B809"/>
      <c r="C809"/>
      <c r="D809" s="155"/>
      <c r="E809" s="256"/>
      <c r="F809" s="197"/>
      <c r="G809" s="197"/>
      <c r="H809" s="197"/>
      <c r="I809" s="197"/>
      <c r="J809" s="197"/>
      <c r="K809" s="197"/>
      <c r="L809" s="198"/>
      <c r="M809" s="199"/>
      <c r="N809" s="200"/>
      <c r="O809" s="222"/>
      <c r="P809" s="214">
        <f t="shared" ref="P809:P812" si="38">M809*O809</f>
        <v>0</v>
      </c>
      <c r="Q809" s="421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</row>
    <row r="810" spans="1:50" s="10" customFormat="1" ht="14">
      <c r="A810"/>
      <c r="B810"/>
      <c r="C810"/>
      <c r="D810" s="155"/>
      <c r="E810" s="218"/>
      <c r="F810" s="197"/>
      <c r="G810" s="197"/>
      <c r="H810" s="197"/>
      <c r="I810" s="197"/>
      <c r="J810" s="197"/>
      <c r="K810" s="197"/>
      <c r="L810" s="198"/>
      <c r="M810" s="199"/>
      <c r="N810" s="200"/>
      <c r="O810" s="222"/>
      <c r="P810" s="214">
        <f t="shared" si="38"/>
        <v>0</v>
      </c>
      <c r="Q810" s="421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</row>
    <row r="811" spans="1:50" s="10" customFormat="1" ht="14">
      <c r="A811"/>
      <c r="B811"/>
      <c r="C811"/>
      <c r="D811" s="155"/>
      <c r="E811" s="218"/>
      <c r="F811" s="197"/>
      <c r="G811" s="197"/>
      <c r="H811" s="197"/>
      <c r="I811" s="197"/>
      <c r="J811" s="197"/>
      <c r="K811" s="197"/>
      <c r="L811" s="198"/>
      <c r="M811" s="199"/>
      <c r="N811" s="200"/>
      <c r="O811" s="222"/>
      <c r="P811" s="214">
        <f t="shared" si="38"/>
        <v>0</v>
      </c>
      <c r="Q811" s="42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</row>
    <row r="812" spans="1:50" s="10" customFormat="1" ht="14">
      <c r="A812"/>
      <c r="B812"/>
      <c r="C812"/>
      <c r="D812" s="155"/>
      <c r="E812" s="196"/>
      <c r="F812" s="197"/>
      <c r="G812" s="197"/>
      <c r="H812" s="197"/>
      <c r="I812" s="197"/>
      <c r="J812" s="197"/>
      <c r="K812" s="197"/>
      <c r="L812" s="198"/>
      <c r="M812" s="199"/>
      <c r="N812" s="200"/>
      <c r="O812" s="246"/>
      <c r="P812" s="214">
        <f t="shared" si="38"/>
        <v>0</v>
      </c>
      <c r="Q812" s="421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</row>
    <row r="813" spans="1:50" s="10" customFormat="1" ht="14">
      <c r="A813"/>
      <c r="B813"/>
      <c r="C813"/>
      <c r="D813" s="155"/>
      <c r="E813" s="179"/>
      <c r="F813" s="180"/>
      <c r="G813" s="180"/>
      <c r="H813" s="180"/>
      <c r="I813" s="180"/>
      <c r="J813" s="180"/>
      <c r="K813" s="180"/>
      <c r="L813" s="181"/>
      <c r="M813" s="182"/>
      <c r="N813" s="183"/>
      <c r="O813" s="184"/>
      <c r="P813" s="185"/>
      <c r="Q813" s="185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</row>
    <row r="814" spans="1:50" s="10" customFormat="1" ht="14">
      <c r="A814"/>
      <c r="B814"/>
      <c r="C814"/>
      <c r="D814" s="155"/>
      <c r="E814" s="196"/>
      <c r="F814" s="197"/>
      <c r="G814" s="197"/>
      <c r="H814" s="197"/>
      <c r="I814" s="197"/>
      <c r="J814" s="197"/>
      <c r="K814" s="197"/>
      <c r="L814" s="198"/>
      <c r="M814" s="199"/>
      <c r="N814" s="200"/>
      <c r="O814" s="246"/>
      <c r="P814" s="214">
        <f>SUM(P805:P813)</f>
        <v>75000</v>
      </c>
      <c r="Q814" s="421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</row>
    <row r="815" spans="1:50" s="10" customFormat="1" ht="14">
      <c r="A815"/>
      <c r="B815"/>
      <c r="C815"/>
      <c r="D815" s="155"/>
      <c r="E815" s="154"/>
      <c r="F815" s="154"/>
      <c r="G815" s="154"/>
      <c r="H815" s="154"/>
      <c r="I815" s="154"/>
      <c r="J815" s="154"/>
      <c r="K815" s="154"/>
      <c r="L815" s="154"/>
      <c r="M815" s="156"/>
      <c r="N815" s="157"/>
      <c r="O815" s="158"/>
      <c r="P815" s="159"/>
      <c r="Q815" s="160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</row>
    <row r="816" spans="1:50" s="10" customFormat="1" ht="14">
      <c r="A816"/>
      <c r="B816"/>
      <c r="C816"/>
      <c r="D816" s="155"/>
      <c r="E816" s="168"/>
      <c r="F816" s="169"/>
      <c r="G816" s="169"/>
      <c r="H816" s="169"/>
      <c r="I816" s="169"/>
      <c r="J816" s="169"/>
      <c r="K816" s="169"/>
      <c r="L816" s="163"/>
      <c r="M816" s="164"/>
      <c r="N816" s="165"/>
      <c r="O816" s="166"/>
      <c r="P816" s="167"/>
      <c r="Q816" s="167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</row>
    <row r="817" spans="1:50" s="10" customFormat="1" ht="14">
      <c r="A817"/>
      <c r="B817"/>
      <c r="C817"/>
      <c r="D817" s="155"/>
      <c r="E817" s="168" t="str">
        <f>RECAP!F50</f>
        <v>RESIDENTIAL APPLIANCES</v>
      </c>
      <c r="F817" s="168"/>
      <c r="G817" s="168"/>
      <c r="H817" s="168"/>
      <c r="I817" s="168"/>
      <c r="J817" s="168"/>
      <c r="K817" s="168"/>
      <c r="L817" s="163"/>
      <c r="M817" s="164"/>
      <c r="N817" s="165"/>
      <c r="O817" s="166"/>
      <c r="P817" s="167"/>
      <c r="Q817" s="16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</row>
    <row r="818" spans="1:50" s="10" customFormat="1" ht="14">
      <c r="A818"/>
      <c r="B818"/>
      <c r="C818"/>
      <c r="D818" s="155"/>
      <c r="E818" s="154"/>
      <c r="F818" s="154"/>
      <c r="G818" s="154"/>
      <c r="H818" s="154"/>
      <c r="I818" s="154"/>
      <c r="J818" s="154"/>
      <c r="K818" s="154"/>
      <c r="L818" s="154"/>
      <c r="M818" s="156"/>
      <c r="N818" s="157"/>
      <c r="O818" s="158"/>
      <c r="P818" s="159"/>
      <c r="Q818" s="17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</row>
    <row r="819" spans="1:50" s="10" customFormat="1" ht="14">
      <c r="A819"/>
      <c r="B819"/>
      <c r="C819"/>
      <c r="D819" s="170"/>
      <c r="E819" s="171"/>
      <c r="F819" s="172"/>
      <c r="G819" s="172" t="s">
        <v>13</v>
      </c>
      <c r="H819" s="172"/>
      <c r="I819" s="172"/>
      <c r="J819" s="172"/>
      <c r="K819" s="172"/>
      <c r="L819" s="173"/>
      <c r="M819" s="174" t="s">
        <v>23</v>
      </c>
      <c r="N819" s="175" t="s">
        <v>151</v>
      </c>
      <c r="O819" s="176" t="s">
        <v>152</v>
      </c>
      <c r="P819" s="177" t="s">
        <v>153</v>
      </c>
      <c r="Q819" s="416" t="s">
        <v>17</v>
      </c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</row>
    <row r="820" spans="1:50" s="10" customFormat="1" ht="14">
      <c r="A820"/>
      <c r="B820"/>
      <c r="C820"/>
      <c r="D820" s="155"/>
      <c r="E820" s="179"/>
      <c r="F820" s="180"/>
      <c r="G820" s="180"/>
      <c r="H820" s="180"/>
      <c r="I820" s="180"/>
      <c r="J820" s="180"/>
      <c r="K820" s="180"/>
      <c r="L820" s="181"/>
      <c r="M820" s="182"/>
      <c r="N820" s="183"/>
      <c r="O820" s="184"/>
      <c r="P820" s="185"/>
      <c r="Q820" s="417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</row>
    <row r="821" spans="1:50" s="10" customFormat="1" ht="14.5" thickBot="1">
      <c r="A821"/>
      <c r="B821"/>
      <c r="C821"/>
      <c r="D821" s="148"/>
      <c r="E821" s="186" t="s">
        <v>154</v>
      </c>
      <c r="F821" s="187"/>
      <c r="G821" s="187"/>
      <c r="H821" s="187"/>
      <c r="I821" s="187"/>
      <c r="J821" s="187"/>
      <c r="K821" s="187"/>
      <c r="L821" s="188"/>
      <c r="M821" s="189"/>
      <c r="N821" s="190"/>
      <c r="O821" s="220"/>
      <c r="P821" s="221">
        <f t="shared" ref="P821:P822" si="39">M821*O821</f>
        <v>0</v>
      </c>
      <c r="Q821" s="4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</row>
    <row r="822" spans="1:50" s="10" customFormat="1" ht="14.5" thickTop="1">
      <c r="A822"/>
      <c r="B822"/>
      <c r="C822"/>
      <c r="D822" s="155"/>
      <c r="E822" s="191"/>
      <c r="F822" s="192"/>
      <c r="G822" s="192"/>
      <c r="H822" s="192"/>
      <c r="I822" s="192"/>
      <c r="J822" s="192"/>
      <c r="K822" s="192"/>
      <c r="L822" s="193"/>
      <c r="M822" s="194"/>
      <c r="N822" s="195"/>
      <c r="O822" s="225"/>
      <c r="P822" s="226">
        <f t="shared" si="39"/>
        <v>0</v>
      </c>
      <c r="Q822" s="421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</row>
    <row r="823" spans="1:50" s="10" customFormat="1" ht="14">
      <c r="A823"/>
      <c r="B823"/>
      <c r="C823"/>
      <c r="D823" s="155"/>
      <c r="E823" s="254" t="s">
        <v>11</v>
      </c>
      <c r="F823" s="197"/>
      <c r="G823" s="197"/>
      <c r="H823" s="279"/>
      <c r="I823" s="197"/>
      <c r="J823" s="197"/>
      <c r="K823" s="197"/>
      <c r="L823" s="198"/>
      <c r="M823" s="199"/>
      <c r="N823" s="200"/>
      <c r="O823" s="246"/>
      <c r="P823" s="214">
        <f>M823*O823</f>
        <v>0</v>
      </c>
      <c r="Q823" s="421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</row>
    <row r="824" spans="1:50" s="10" customFormat="1" ht="14">
      <c r="A824"/>
      <c r="B824"/>
      <c r="C824"/>
      <c r="D824" s="155"/>
      <c r="E824" s="203" t="s">
        <v>734</v>
      </c>
      <c r="F824" s="197"/>
      <c r="G824" s="197"/>
      <c r="H824" s="197"/>
      <c r="I824" s="197"/>
      <c r="J824" s="197"/>
      <c r="K824" s="197"/>
      <c r="L824" s="198"/>
      <c r="M824" s="199">
        <v>1</v>
      </c>
      <c r="N824" s="200" t="s">
        <v>164</v>
      </c>
      <c r="O824" s="222">
        <v>50000</v>
      </c>
      <c r="P824" s="214">
        <f>M824*O824</f>
        <v>50000</v>
      </c>
      <c r="Q824" s="421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</row>
    <row r="825" spans="1:50" s="10" customFormat="1" ht="14">
      <c r="A825"/>
      <c r="B825"/>
      <c r="C825"/>
      <c r="D825" s="155"/>
      <c r="E825" s="203"/>
      <c r="F825" s="197"/>
      <c r="G825" s="197"/>
      <c r="H825" s="197"/>
      <c r="I825" s="197"/>
      <c r="J825" s="197"/>
      <c r="K825" s="197"/>
      <c r="L825" s="198"/>
      <c r="M825" s="199"/>
      <c r="N825" s="200"/>
      <c r="O825" s="246"/>
      <c r="P825" s="214">
        <f t="shared" ref="P825:P826" si="40">M825*O825</f>
        <v>0</v>
      </c>
      <c r="Q825" s="421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</row>
    <row r="826" spans="1:50" s="10" customFormat="1" ht="14">
      <c r="A826"/>
      <c r="B826"/>
      <c r="C826"/>
      <c r="D826" s="155"/>
      <c r="E826" s="203" t="s">
        <v>791</v>
      </c>
      <c r="F826" s="197"/>
      <c r="G826" s="197"/>
      <c r="H826" s="197"/>
      <c r="I826" s="197"/>
      <c r="J826" s="197"/>
      <c r="K826" s="197"/>
      <c r="L826" s="198"/>
      <c r="M826" s="199">
        <v>1</v>
      </c>
      <c r="N826" s="200" t="s">
        <v>792</v>
      </c>
      <c r="O826" s="222">
        <v>20000</v>
      </c>
      <c r="P826" s="214">
        <f t="shared" si="40"/>
        <v>20000</v>
      </c>
      <c r="Q826" s="421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</row>
    <row r="827" spans="1:50" s="10" customFormat="1" ht="14">
      <c r="A827"/>
      <c r="B827"/>
      <c r="C827"/>
      <c r="D827" s="155"/>
      <c r="E827" s="218"/>
      <c r="F827" s="197"/>
      <c r="G827" s="197"/>
      <c r="H827" s="197"/>
      <c r="I827" s="197"/>
      <c r="J827" s="197"/>
      <c r="K827" s="197"/>
      <c r="L827" s="198"/>
      <c r="M827" s="199"/>
      <c r="N827" s="200"/>
      <c r="O827" s="222"/>
      <c r="P827" s="214">
        <f>M827*O827</f>
        <v>0</v>
      </c>
      <c r="Q827" s="421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</row>
    <row r="828" spans="1:50" s="10" customFormat="1" ht="14">
      <c r="A828"/>
      <c r="B828"/>
      <c r="C828"/>
      <c r="D828" s="155"/>
      <c r="E828" s="203" t="s">
        <v>735</v>
      </c>
      <c r="F828" s="197"/>
      <c r="G828" s="197"/>
      <c r="H828" s="197"/>
      <c r="I828" s="197"/>
      <c r="J828" s="197"/>
      <c r="K828" s="197"/>
      <c r="L828" s="198"/>
      <c r="M828" s="199">
        <v>1</v>
      </c>
      <c r="N828" s="200" t="s">
        <v>164</v>
      </c>
      <c r="O828" s="222">
        <v>30000</v>
      </c>
      <c r="P828" s="214">
        <f>M828*O828</f>
        <v>30000</v>
      </c>
      <c r="Q828" s="421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</row>
    <row r="829" spans="1:50" s="10" customFormat="1" ht="14">
      <c r="A829"/>
      <c r="B829"/>
      <c r="C829"/>
      <c r="D829" s="155"/>
      <c r="E829" s="268"/>
      <c r="F829" s="197"/>
      <c r="G829" s="197"/>
      <c r="H829" s="197"/>
      <c r="I829" s="197"/>
      <c r="J829" s="197"/>
      <c r="K829" s="197"/>
      <c r="L829" s="198"/>
      <c r="M829" s="199"/>
      <c r="N829" s="200"/>
      <c r="O829" s="222"/>
      <c r="P829" s="214">
        <f>M829*O829</f>
        <v>0</v>
      </c>
      <c r="Q829" s="421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</row>
    <row r="830" spans="1:50" s="10" customFormat="1" ht="14">
      <c r="A830"/>
      <c r="B830"/>
      <c r="C830"/>
      <c r="D830" s="155"/>
      <c r="E830" s="218"/>
      <c r="F830" s="197"/>
      <c r="G830" s="197"/>
      <c r="H830" s="280"/>
      <c r="I830" s="197"/>
      <c r="J830" s="197"/>
      <c r="K830" s="197"/>
      <c r="L830" s="198"/>
      <c r="M830" s="199"/>
      <c r="N830" s="200"/>
      <c r="O830" s="222"/>
      <c r="P830" s="214">
        <f>M830*O830</f>
        <v>0</v>
      </c>
      <c r="Q830" s="421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</row>
    <row r="831" spans="1:50" s="10" customFormat="1" ht="14">
      <c r="A831"/>
      <c r="B831"/>
      <c r="C831"/>
      <c r="D831" s="155"/>
      <c r="E831" s="203"/>
      <c r="F831" s="197"/>
      <c r="G831" s="197"/>
      <c r="H831" s="197"/>
      <c r="I831" s="197"/>
      <c r="J831" s="197"/>
      <c r="K831" s="197"/>
      <c r="L831" s="198"/>
      <c r="M831" s="199"/>
      <c r="N831" s="200"/>
      <c r="O831" s="246"/>
      <c r="P831" s="214">
        <f t="shared" ref="P831:P832" si="41">M831*O831</f>
        <v>0</v>
      </c>
      <c r="Q831" s="42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</row>
    <row r="832" spans="1:50" s="10" customFormat="1" ht="14">
      <c r="A832"/>
      <c r="B832"/>
      <c r="C832"/>
      <c r="D832" s="155"/>
      <c r="E832" s="196"/>
      <c r="F832" s="197"/>
      <c r="G832" s="197"/>
      <c r="H832" s="197"/>
      <c r="I832" s="197"/>
      <c r="J832" s="197"/>
      <c r="K832" s="197"/>
      <c r="L832" s="198"/>
      <c r="M832" s="199"/>
      <c r="N832" s="200"/>
      <c r="O832" s="246"/>
      <c r="P832" s="214">
        <f t="shared" si="41"/>
        <v>0</v>
      </c>
      <c r="Q832" s="421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</row>
    <row r="833" spans="1:50" s="10" customFormat="1" ht="14">
      <c r="A833"/>
      <c r="B833"/>
      <c r="C833"/>
      <c r="D833" s="155"/>
      <c r="E833" s="179"/>
      <c r="F833" s="180"/>
      <c r="G833" s="180"/>
      <c r="H833" s="180"/>
      <c r="I833" s="180"/>
      <c r="J833" s="180"/>
      <c r="K833" s="180"/>
      <c r="L833" s="181"/>
      <c r="M833" s="182"/>
      <c r="N833" s="183"/>
      <c r="O833" s="184"/>
      <c r="P833" s="185"/>
      <c r="Q833" s="185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</row>
    <row r="834" spans="1:50" s="10" customFormat="1" ht="14">
      <c r="A834"/>
      <c r="B834"/>
      <c r="C834"/>
      <c r="D834" s="155"/>
      <c r="E834" s="196"/>
      <c r="F834" s="197"/>
      <c r="G834" s="197"/>
      <c r="H834" s="197"/>
      <c r="I834" s="197"/>
      <c r="J834" s="197"/>
      <c r="K834" s="197"/>
      <c r="L834" s="198"/>
      <c r="M834" s="199"/>
      <c r="N834" s="200"/>
      <c r="O834" s="246"/>
      <c r="P834" s="214">
        <f>SUM(P820:P833)</f>
        <v>100000</v>
      </c>
      <c r="Q834" s="421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</row>
    <row r="835" spans="1:50" ht="14">
      <c r="Q835" s="160"/>
    </row>
    <row r="836" spans="1:50" s="10" customFormat="1" ht="14.5">
      <c r="A836" s="6"/>
      <c r="B836" s="6"/>
      <c r="C836" s="6"/>
      <c r="D836" s="148"/>
      <c r="E836" s="147"/>
      <c r="F836" s="147" t="s">
        <v>97</v>
      </c>
      <c r="G836" s="147"/>
      <c r="H836" s="147"/>
      <c r="I836" s="147"/>
      <c r="J836" s="147"/>
      <c r="K836" s="147"/>
      <c r="L836" s="147"/>
      <c r="M836" s="149"/>
      <c r="N836" s="150"/>
      <c r="O836" s="151"/>
      <c r="P836" s="152"/>
      <c r="Q836" s="152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</row>
    <row r="837" spans="1:50" s="10" customFormat="1" ht="14">
      <c r="A837"/>
      <c r="B837"/>
      <c r="C837"/>
      <c r="D837" s="155"/>
      <c r="E837" s="154"/>
      <c r="F837" s="154"/>
      <c r="G837" s="154"/>
      <c r="H837" s="154"/>
      <c r="I837" s="154"/>
      <c r="J837" s="154"/>
      <c r="K837" s="154"/>
      <c r="L837" s="154"/>
      <c r="M837" s="156"/>
      <c r="N837" s="157"/>
      <c r="O837" s="158"/>
      <c r="P837" s="159"/>
      <c r="Q837" s="160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</row>
    <row r="838" spans="1:50" s="10" customFormat="1" ht="14">
      <c r="A838"/>
      <c r="B838"/>
      <c r="C838"/>
      <c r="D838" s="155"/>
      <c r="E838" s="168"/>
      <c r="F838" s="169"/>
      <c r="G838" s="169"/>
      <c r="H838" s="169"/>
      <c r="I838" s="169"/>
      <c r="J838" s="169"/>
      <c r="K838" s="169"/>
      <c r="L838" s="163"/>
      <c r="M838" s="164"/>
      <c r="N838" s="165"/>
      <c r="O838" s="166"/>
      <c r="P838" s="167"/>
      <c r="Q838" s="167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</row>
    <row r="839" spans="1:50" s="10" customFormat="1" ht="14">
      <c r="A839"/>
      <c r="B839"/>
      <c r="C839"/>
      <c r="D839" s="155"/>
      <c r="E839" s="168" t="str">
        <f>RECAP!F52</f>
        <v>WINDOW TREATMENTS</v>
      </c>
      <c r="F839" s="168"/>
      <c r="G839" s="168"/>
      <c r="H839" s="168"/>
      <c r="I839" s="168"/>
      <c r="J839" s="168"/>
      <c r="K839" s="168"/>
      <c r="L839" s="163"/>
      <c r="M839" s="164"/>
      <c r="N839" s="165"/>
      <c r="O839" s="166"/>
      <c r="P839" s="167"/>
      <c r="Q839" s="167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</row>
    <row r="840" spans="1:50" s="10" customFormat="1" ht="14">
      <c r="A840"/>
      <c r="B840"/>
      <c r="C840"/>
      <c r="D840" s="155"/>
      <c r="E840" s="154"/>
      <c r="F840" s="154"/>
      <c r="G840" s="154"/>
      <c r="H840" s="154"/>
      <c r="I840" s="154"/>
      <c r="J840" s="154"/>
      <c r="K840" s="154"/>
      <c r="L840" s="154"/>
      <c r="M840" s="156"/>
      <c r="N840" s="157"/>
      <c r="O840" s="158"/>
      <c r="P840" s="159"/>
      <c r="Q840" s="16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</row>
    <row r="841" spans="1:50" s="10" customFormat="1" ht="14">
      <c r="A841"/>
      <c r="B841"/>
      <c r="C841"/>
      <c r="D841" s="170"/>
      <c r="E841" s="171"/>
      <c r="F841" s="172"/>
      <c r="G841" s="172" t="s">
        <v>13</v>
      </c>
      <c r="H841" s="172"/>
      <c r="I841" s="172"/>
      <c r="J841" s="172"/>
      <c r="K841" s="172"/>
      <c r="L841" s="173"/>
      <c r="M841" s="174" t="s">
        <v>23</v>
      </c>
      <c r="N841" s="175" t="s">
        <v>151</v>
      </c>
      <c r="O841" s="176" t="s">
        <v>152</v>
      </c>
      <c r="P841" s="177" t="s">
        <v>153</v>
      </c>
      <c r="Q841" s="416" t="s">
        <v>17</v>
      </c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</row>
    <row r="842" spans="1:50" s="10" customFormat="1" ht="14">
      <c r="A842"/>
      <c r="B842"/>
      <c r="C842"/>
      <c r="D842" s="155"/>
      <c r="E842" s="179"/>
      <c r="F842" s="180"/>
      <c r="G842" s="180"/>
      <c r="H842" s="180"/>
      <c r="I842" s="180"/>
      <c r="J842" s="180"/>
      <c r="K842" s="180"/>
      <c r="L842" s="181"/>
      <c r="M842" s="182"/>
      <c r="N842" s="183"/>
      <c r="O842" s="184"/>
      <c r="P842" s="185"/>
      <c r="Q842" s="417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</row>
    <row r="843" spans="1:50" s="10" customFormat="1" ht="14.5" thickBot="1">
      <c r="A843"/>
      <c r="B843"/>
      <c r="C843"/>
      <c r="D843" s="148"/>
      <c r="E843" s="186" t="s">
        <v>154</v>
      </c>
      <c r="F843" s="187"/>
      <c r="G843" s="187"/>
      <c r="H843" s="187"/>
      <c r="I843" s="187"/>
      <c r="J843" s="187"/>
      <c r="K843" s="187"/>
      <c r="L843" s="188"/>
      <c r="M843" s="189"/>
      <c r="N843" s="190"/>
      <c r="O843" s="220"/>
      <c r="P843" s="221">
        <f>M843*O843</f>
        <v>0</v>
      </c>
      <c r="Q843" s="421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</row>
    <row r="844" spans="1:50" s="10" customFormat="1" ht="14.5" thickTop="1">
      <c r="A844"/>
      <c r="B844"/>
      <c r="C844"/>
      <c r="D844" s="155"/>
      <c r="E844" s="191"/>
      <c r="F844" s="192"/>
      <c r="G844" s="192"/>
      <c r="H844" s="192"/>
      <c r="I844" s="192"/>
      <c r="J844" s="192"/>
      <c r="K844" s="192"/>
      <c r="L844" s="193"/>
      <c r="M844" s="194"/>
      <c r="N844" s="195"/>
      <c r="O844" s="225"/>
      <c r="P844" s="226">
        <f>M844*O844</f>
        <v>0</v>
      </c>
      <c r="Q844" s="421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</row>
    <row r="845" spans="1:50" s="10" customFormat="1" ht="14">
      <c r="A845"/>
      <c r="B845"/>
      <c r="C845"/>
      <c r="D845" s="155"/>
      <c r="E845" s="196" t="s">
        <v>446</v>
      </c>
      <c r="F845" s="197"/>
      <c r="G845" s="197"/>
      <c r="H845" s="197"/>
      <c r="I845" s="197"/>
      <c r="J845" s="197"/>
      <c r="K845" s="197"/>
      <c r="L845" s="198"/>
      <c r="M845" s="206"/>
      <c r="N845" s="200"/>
      <c r="O845" s="222"/>
      <c r="P845" s="214">
        <f>M845*O845</f>
        <v>0</v>
      </c>
      <c r="Q845" s="421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</row>
    <row r="846" spans="1:50" s="10" customFormat="1" ht="14">
      <c r="A846"/>
      <c r="B846"/>
      <c r="C846"/>
      <c r="D846" s="155"/>
      <c r="E846" s="203" t="s">
        <v>447</v>
      </c>
      <c r="F846" s="197" t="s">
        <v>684</v>
      </c>
      <c r="G846" s="197"/>
      <c r="H846" s="197"/>
      <c r="I846" s="197"/>
      <c r="J846" s="197"/>
      <c r="K846" s="197"/>
      <c r="L846" s="198"/>
      <c r="M846" s="199">
        <f>220*6</f>
        <v>1320</v>
      </c>
      <c r="N846" s="200" t="s">
        <v>5</v>
      </c>
      <c r="O846" s="246">
        <v>15</v>
      </c>
      <c r="P846" s="214">
        <f t="shared" ref="P846:P848" si="42">M846*O846</f>
        <v>19800</v>
      </c>
      <c r="Q846" s="421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</row>
    <row r="847" spans="1:50" s="10" customFormat="1" ht="14">
      <c r="A847"/>
      <c r="B847"/>
      <c r="C847"/>
      <c r="D847" s="155"/>
      <c r="E847" s="203" t="s">
        <v>447</v>
      </c>
      <c r="F847" s="197" t="s">
        <v>685</v>
      </c>
      <c r="G847" s="197"/>
      <c r="H847" s="197"/>
      <c r="I847" s="197"/>
      <c r="J847" s="197"/>
      <c r="K847" s="197"/>
      <c r="L847" s="198"/>
      <c r="M847" s="199">
        <f>60*6</f>
        <v>360</v>
      </c>
      <c r="N847" s="200" t="s">
        <v>5</v>
      </c>
      <c r="O847" s="246">
        <v>20</v>
      </c>
      <c r="P847" s="214">
        <f t="shared" si="42"/>
        <v>7200</v>
      </c>
      <c r="Q847" s="421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</row>
    <row r="848" spans="1:50" s="10" customFormat="1" ht="14">
      <c r="A848"/>
      <c r="B848"/>
      <c r="C848"/>
      <c r="D848" s="155"/>
      <c r="E848" s="196"/>
      <c r="F848" s="197"/>
      <c r="G848" s="197"/>
      <c r="H848" s="197"/>
      <c r="I848" s="197"/>
      <c r="J848" s="197"/>
      <c r="K848" s="197"/>
      <c r="L848" s="198"/>
      <c r="M848" s="199"/>
      <c r="N848" s="200"/>
      <c r="O848" s="222"/>
      <c r="P848" s="214">
        <f t="shared" si="42"/>
        <v>0</v>
      </c>
      <c r="Q848" s="421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</row>
    <row r="849" spans="1:50" s="10" customFormat="1" ht="14">
      <c r="A849"/>
      <c r="B849"/>
      <c r="C849"/>
      <c r="D849" s="155"/>
      <c r="E849" s="179"/>
      <c r="F849" s="180"/>
      <c r="G849" s="180"/>
      <c r="H849" s="180"/>
      <c r="I849" s="180"/>
      <c r="J849" s="180"/>
      <c r="K849" s="180"/>
      <c r="L849" s="181"/>
      <c r="M849" s="182"/>
      <c r="N849" s="183"/>
      <c r="O849" s="184"/>
      <c r="P849" s="185"/>
      <c r="Q849" s="185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</row>
    <row r="850" spans="1:50" s="10" customFormat="1" ht="14">
      <c r="A850"/>
      <c r="B850"/>
      <c r="C850"/>
      <c r="D850" s="155"/>
      <c r="E850" s="196"/>
      <c r="F850" s="197"/>
      <c r="G850" s="197"/>
      <c r="H850" s="197"/>
      <c r="I850" s="197"/>
      <c r="J850" s="197"/>
      <c r="K850" s="197"/>
      <c r="L850" s="198"/>
      <c r="M850" s="199"/>
      <c r="N850" s="200"/>
      <c r="O850" s="246"/>
      <c r="P850" s="214">
        <f>SUM(P842:P849)</f>
        <v>27000</v>
      </c>
      <c r="Q850" s="421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</row>
    <row r="851" spans="1:50" s="10" customFormat="1" ht="14">
      <c r="A851"/>
      <c r="B851"/>
      <c r="C851"/>
      <c r="D851" s="155"/>
      <c r="E851" s="154"/>
      <c r="F851" s="154"/>
      <c r="G851" s="154"/>
      <c r="H851" s="154"/>
      <c r="I851" s="154"/>
      <c r="J851" s="154"/>
      <c r="K851" s="154"/>
      <c r="L851" s="154"/>
      <c r="M851" s="156"/>
      <c r="N851" s="157"/>
      <c r="O851" s="158"/>
      <c r="P851" s="159"/>
      <c r="Q851" s="160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</row>
    <row r="852" spans="1:50" s="10" customFormat="1" ht="14.5">
      <c r="A852" s="6"/>
      <c r="B852" s="6"/>
      <c r="C852" s="6"/>
      <c r="D852" s="148"/>
      <c r="E852" s="147"/>
      <c r="F852" s="147" t="s">
        <v>104</v>
      </c>
      <c r="G852" s="147"/>
      <c r="H852" s="147"/>
      <c r="I852" s="147"/>
      <c r="J852" s="147"/>
      <c r="K852" s="147"/>
      <c r="L852" s="147"/>
      <c r="M852" s="149"/>
      <c r="N852" s="150"/>
      <c r="O852" s="151"/>
      <c r="P852" s="152"/>
      <c r="Q852" s="1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</row>
    <row r="853" spans="1:50" s="10" customFormat="1" ht="14">
      <c r="A853"/>
      <c r="B853"/>
      <c r="C853"/>
      <c r="D853" s="155"/>
      <c r="E853" s="154"/>
      <c r="F853" s="154"/>
      <c r="G853" s="154"/>
      <c r="H853" s="154"/>
      <c r="I853" s="154"/>
      <c r="J853" s="154"/>
      <c r="K853" s="154"/>
      <c r="L853" s="154"/>
      <c r="M853" s="156"/>
      <c r="N853" s="157"/>
      <c r="O853" s="158"/>
      <c r="P853" s="159"/>
      <c r="Q853" s="160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</row>
    <row r="854" spans="1:50" s="10" customFormat="1" ht="14">
      <c r="A854"/>
      <c r="B854"/>
      <c r="C854"/>
      <c r="D854" s="155"/>
      <c r="E854" s="169"/>
      <c r="F854" s="163"/>
      <c r="G854" s="163"/>
      <c r="H854" s="163"/>
      <c r="I854" s="163"/>
      <c r="J854" s="163"/>
      <c r="K854" s="163"/>
      <c r="L854" s="163"/>
      <c r="M854" s="164"/>
      <c r="N854" s="165"/>
      <c r="O854" s="166"/>
      <c r="P854" s="167"/>
      <c r="Q854" s="167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</row>
    <row r="855" spans="1:50" s="10" customFormat="1" ht="14">
      <c r="A855"/>
      <c r="B855"/>
      <c r="C855"/>
      <c r="D855" s="155"/>
      <c r="E855" s="168" t="str">
        <f>RECAP!F56</f>
        <v xml:space="preserve">FIRE PROTECTION </v>
      </c>
      <c r="F855" s="163"/>
      <c r="G855" s="163"/>
      <c r="H855" s="163"/>
      <c r="I855" s="163"/>
      <c r="J855" s="163"/>
      <c r="K855" s="163"/>
      <c r="L855" s="163"/>
      <c r="M855" s="164"/>
      <c r="N855" s="165"/>
      <c r="O855" s="166"/>
      <c r="P855" s="167"/>
      <c r="Q855" s="167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</row>
    <row r="856" spans="1:50" s="10" customFormat="1" ht="14">
      <c r="A856"/>
      <c r="B856"/>
      <c r="C856"/>
      <c r="D856" s="155"/>
      <c r="E856" s="154"/>
      <c r="F856" s="154"/>
      <c r="G856" s="154"/>
      <c r="H856" s="154"/>
      <c r="I856" s="154"/>
      <c r="J856" s="154"/>
      <c r="K856" s="154"/>
      <c r="L856" s="154"/>
      <c r="M856" s="156"/>
      <c r="N856" s="157"/>
      <c r="O856" s="158"/>
      <c r="P856" s="159"/>
      <c r="Q856" s="160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</row>
    <row r="857" spans="1:50" s="10" customFormat="1" ht="14">
      <c r="A857"/>
      <c r="B857"/>
      <c r="C857"/>
      <c r="D857" s="170"/>
      <c r="E857" s="171"/>
      <c r="F857" s="172"/>
      <c r="G857" s="172" t="s">
        <v>13</v>
      </c>
      <c r="H857" s="172"/>
      <c r="I857" s="172"/>
      <c r="J857" s="172"/>
      <c r="K857" s="172"/>
      <c r="L857" s="173"/>
      <c r="M857" s="174" t="s">
        <v>23</v>
      </c>
      <c r="N857" s="175" t="s">
        <v>151</v>
      </c>
      <c r="O857" s="176" t="s">
        <v>152</v>
      </c>
      <c r="P857" s="177" t="s">
        <v>153</v>
      </c>
      <c r="Q857" s="416" t="s">
        <v>17</v>
      </c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</row>
    <row r="858" spans="1:50" s="10" customFormat="1" ht="14">
      <c r="A858"/>
      <c r="B858"/>
      <c r="C858"/>
      <c r="D858" s="155"/>
      <c r="E858" s="179"/>
      <c r="F858" s="180"/>
      <c r="G858" s="180"/>
      <c r="H858" s="180"/>
      <c r="I858" s="180"/>
      <c r="J858" s="180"/>
      <c r="K858" s="180"/>
      <c r="L858" s="181"/>
      <c r="M858" s="182"/>
      <c r="N858" s="183"/>
      <c r="O858" s="184"/>
      <c r="P858" s="185"/>
      <c r="Q858" s="417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</row>
    <row r="859" spans="1:50" s="10" customFormat="1" ht="14.5" thickBot="1">
      <c r="A859"/>
      <c r="B859"/>
      <c r="C859"/>
      <c r="D859" s="148"/>
      <c r="E859" s="186" t="s">
        <v>154</v>
      </c>
      <c r="F859" s="187"/>
      <c r="G859" s="187"/>
      <c r="H859" s="187"/>
      <c r="I859" s="187"/>
      <c r="J859" s="187"/>
      <c r="K859" s="187"/>
      <c r="L859" s="188"/>
      <c r="M859" s="189"/>
      <c r="N859" s="190"/>
      <c r="O859" s="220"/>
      <c r="P859" s="221">
        <f>M859*O859</f>
        <v>0</v>
      </c>
      <c r="Q859" s="421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</row>
    <row r="860" spans="1:50" s="10" customFormat="1" ht="14.5" thickTop="1">
      <c r="A860"/>
      <c r="B860"/>
      <c r="C860"/>
      <c r="D860" s="155"/>
      <c r="E860" s="191"/>
      <c r="F860" s="192"/>
      <c r="G860" s="192"/>
      <c r="H860" s="192"/>
      <c r="I860" s="192"/>
      <c r="J860" s="192"/>
      <c r="K860" s="192"/>
      <c r="L860" s="193"/>
      <c r="M860" s="194"/>
      <c r="N860" s="195"/>
      <c r="O860" s="225"/>
      <c r="P860" s="226">
        <f>M860*O860</f>
        <v>0</v>
      </c>
      <c r="Q860" s="421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</row>
    <row r="861" spans="1:50" s="10" customFormat="1" ht="14">
      <c r="A861"/>
      <c r="B861"/>
      <c r="C861"/>
      <c r="D861" s="155"/>
      <c r="E861" s="218"/>
      <c r="F861" s="197"/>
      <c r="G861" s="197"/>
      <c r="H861" s="197"/>
      <c r="I861" s="197"/>
      <c r="J861" s="197"/>
      <c r="K861" s="197"/>
      <c r="L861" s="198"/>
      <c r="M861" s="199"/>
      <c r="N861" s="200"/>
      <c r="O861" s="222"/>
      <c r="P861" s="214">
        <f t="shared" ref="P861:P867" si="43">M861*O861</f>
        <v>0</v>
      </c>
      <c r="Q861" s="42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</row>
    <row r="862" spans="1:50" s="10" customFormat="1" ht="14">
      <c r="A862"/>
      <c r="B862"/>
      <c r="C862"/>
      <c r="D862" s="155"/>
      <c r="E862" s="217" t="s">
        <v>450</v>
      </c>
      <c r="F862" s="197"/>
      <c r="G862" s="197"/>
      <c r="H862" s="197"/>
      <c r="I862" s="197"/>
      <c r="J862" s="197"/>
      <c r="K862" s="197"/>
      <c r="L862" s="198"/>
      <c r="M862" s="206"/>
      <c r="N862" s="200"/>
      <c r="O862" s="222"/>
      <c r="P862" s="214">
        <f t="shared" si="43"/>
        <v>0</v>
      </c>
      <c r="Q862" s="421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</row>
    <row r="863" spans="1:50" s="10" customFormat="1" ht="14">
      <c r="A863"/>
      <c r="B863"/>
      <c r="C863"/>
      <c r="D863" s="155"/>
      <c r="E863" s="203" t="s">
        <v>451</v>
      </c>
      <c r="F863" s="197"/>
      <c r="G863" s="197"/>
      <c r="H863" s="197"/>
      <c r="I863" s="197"/>
      <c r="J863" s="197"/>
      <c r="K863" s="197"/>
      <c r="L863" s="198"/>
      <c r="M863" s="199">
        <v>46290</v>
      </c>
      <c r="N863" s="200" t="s">
        <v>5</v>
      </c>
      <c r="O863" s="222">
        <v>3.5</v>
      </c>
      <c r="P863" s="214">
        <f t="shared" si="43"/>
        <v>162015</v>
      </c>
      <c r="Q863" s="421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</row>
    <row r="864" spans="1:50" s="10" customFormat="1" ht="14">
      <c r="A864"/>
      <c r="B864"/>
      <c r="C864"/>
      <c r="D864" s="155"/>
      <c r="E864" s="218" t="s">
        <v>452</v>
      </c>
      <c r="F864" s="197"/>
      <c r="G864" s="197"/>
      <c r="H864" s="197"/>
      <c r="I864" s="197"/>
      <c r="J864" s="197"/>
      <c r="K864" s="197"/>
      <c r="L864" s="198"/>
      <c r="M864" s="206"/>
      <c r="N864" s="200"/>
      <c r="O864" s="222"/>
      <c r="P864" s="214">
        <f t="shared" si="43"/>
        <v>0</v>
      </c>
      <c r="Q864" s="421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</row>
    <row r="865" spans="1:50" s="10" customFormat="1" ht="14">
      <c r="A865"/>
      <c r="B865"/>
      <c r="C865"/>
      <c r="D865" s="155"/>
      <c r="E865" s="218" t="s">
        <v>453</v>
      </c>
      <c r="F865" s="197"/>
      <c r="G865" s="197"/>
      <c r="H865" s="197"/>
      <c r="I865" s="197"/>
      <c r="J865" s="197"/>
      <c r="K865" s="197"/>
      <c r="L865" s="198"/>
      <c r="M865" s="206"/>
      <c r="N865" s="200"/>
      <c r="O865" s="222"/>
      <c r="P865" s="214">
        <f t="shared" si="43"/>
        <v>0</v>
      </c>
      <c r="Q865" s="421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</row>
    <row r="866" spans="1:50" s="10" customFormat="1" ht="14">
      <c r="A866"/>
      <c r="B866"/>
      <c r="C866"/>
      <c r="D866" s="155"/>
      <c r="E866" s="218" t="s">
        <v>829</v>
      </c>
      <c r="F866" s="197"/>
      <c r="G866" s="197"/>
      <c r="H866" s="197"/>
      <c r="I866" s="197"/>
      <c r="J866" s="197"/>
      <c r="K866" s="197"/>
      <c r="L866" s="198"/>
      <c r="M866" s="206">
        <f>M411</f>
        <v>4852</v>
      </c>
      <c r="N866" s="200" t="s">
        <v>5</v>
      </c>
      <c r="O866" s="222">
        <v>4</v>
      </c>
      <c r="P866" s="214">
        <f t="shared" si="43"/>
        <v>19408</v>
      </c>
      <c r="Q866" s="421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</row>
    <row r="867" spans="1:50" s="10" customFormat="1" ht="14">
      <c r="A867"/>
      <c r="B867"/>
      <c r="C867"/>
      <c r="D867" s="155"/>
      <c r="E867" s="196"/>
      <c r="F867" s="197"/>
      <c r="G867" s="197"/>
      <c r="H867" s="197"/>
      <c r="I867" s="197"/>
      <c r="J867" s="197"/>
      <c r="K867" s="197"/>
      <c r="L867" s="198"/>
      <c r="M867" s="199"/>
      <c r="N867" s="200"/>
      <c r="O867" s="246"/>
      <c r="P867" s="214">
        <f t="shared" si="43"/>
        <v>0</v>
      </c>
      <c r="Q867" s="421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</row>
    <row r="868" spans="1:50" s="10" customFormat="1" ht="14">
      <c r="A868"/>
      <c r="B868"/>
      <c r="C868"/>
      <c r="D868" s="155"/>
      <c r="E868" s="179"/>
      <c r="F868" s="180"/>
      <c r="G868" s="180"/>
      <c r="H868" s="180"/>
      <c r="I868" s="180"/>
      <c r="J868" s="180"/>
      <c r="K868" s="180"/>
      <c r="L868" s="181"/>
      <c r="M868" s="182"/>
      <c r="N868" s="183"/>
      <c r="O868" s="184"/>
      <c r="P868" s="185"/>
      <c r="Q868" s="185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</row>
    <row r="869" spans="1:50" s="10" customFormat="1" ht="14">
      <c r="A869"/>
      <c r="B869"/>
      <c r="C869"/>
      <c r="D869" s="155"/>
      <c r="E869" s="196"/>
      <c r="F869" s="197"/>
      <c r="G869" s="197"/>
      <c r="H869" s="197"/>
      <c r="I869" s="197"/>
      <c r="J869" s="197"/>
      <c r="K869" s="197"/>
      <c r="L869" s="198"/>
      <c r="M869" s="199"/>
      <c r="N869" s="200"/>
      <c r="O869" s="246"/>
      <c r="P869" s="214">
        <f>SUM(P858:P868)</f>
        <v>181423</v>
      </c>
      <c r="Q869" s="421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</row>
    <row r="870" spans="1:50" s="10" customFormat="1" ht="14">
      <c r="A870"/>
      <c r="B870"/>
      <c r="C870"/>
      <c r="D870" s="155"/>
      <c r="E870" s="154"/>
      <c r="F870" s="154"/>
      <c r="G870" s="154"/>
      <c r="H870" s="154"/>
      <c r="I870" s="154"/>
      <c r="J870" s="154"/>
      <c r="K870" s="154"/>
      <c r="L870" s="154"/>
      <c r="M870" s="156"/>
      <c r="N870" s="157"/>
      <c r="O870" s="158"/>
      <c r="P870" s="159"/>
      <c r="Q870" s="16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</row>
    <row r="871" spans="1:50" s="10" customFormat="1" ht="14">
      <c r="A871"/>
      <c r="B871"/>
      <c r="C871"/>
      <c r="D871" s="155"/>
      <c r="E871" s="169"/>
      <c r="F871" s="163"/>
      <c r="G871" s="163"/>
      <c r="H871" s="163"/>
      <c r="I871" s="163"/>
      <c r="J871" s="163"/>
      <c r="K871" s="163"/>
      <c r="L871" s="163"/>
      <c r="M871" s="164"/>
      <c r="N871" s="165"/>
      <c r="O871" s="166"/>
      <c r="P871" s="167"/>
      <c r="Q871" s="167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</row>
    <row r="872" spans="1:50" s="10" customFormat="1" ht="14">
      <c r="A872"/>
      <c r="B872"/>
      <c r="C872"/>
      <c r="D872" s="155"/>
      <c r="E872" s="168" t="str">
        <f>RECAP!F57</f>
        <v>PLUMBING</v>
      </c>
      <c r="F872" s="163"/>
      <c r="G872" s="163"/>
      <c r="H872" s="163"/>
      <c r="I872" s="163"/>
      <c r="J872" s="163"/>
      <c r="K872" s="163"/>
      <c r="L872" s="163"/>
      <c r="M872" s="164"/>
      <c r="N872" s="165"/>
      <c r="O872" s="166"/>
      <c r="P872" s="167"/>
      <c r="Q872" s="167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</row>
    <row r="873" spans="1:50" s="10" customFormat="1" ht="14">
      <c r="A873"/>
      <c r="B873"/>
      <c r="C873"/>
      <c r="D873" s="155"/>
      <c r="E873" s="154"/>
      <c r="F873" s="154"/>
      <c r="G873" s="154"/>
      <c r="H873" s="154"/>
      <c r="I873" s="154"/>
      <c r="J873" s="154"/>
      <c r="K873" s="154"/>
      <c r="L873" s="154"/>
      <c r="M873" s="156"/>
      <c r="N873" s="157"/>
      <c r="O873" s="158"/>
      <c r="P873" s="159"/>
      <c r="Q873" s="160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</row>
    <row r="874" spans="1:50" s="10" customFormat="1" ht="14">
      <c r="A874"/>
      <c r="B874"/>
      <c r="C874"/>
      <c r="D874" s="170"/>
      <c r="E874" s="171"/>
      <c r="F874" s="172"/>
      <c r="G874" s="172" t="s">
        <v>13</v>
      </c>
      <c r="H874" s="172"/>
      <c r="I874" s="172"/>
      <c r="J874" s="172"/>
      <c r="K874" s="172"/>
      <c r="L874" s="173"/>
      <c r="M874" s="174" t="s">
        <v>23</v>
      </c>
      <c r="N874" s="175" t="s">
        <v>151</v>
      </c>
      <c r="O874" s="176" t="s">
        <v>152</v>
      </c>
      <c r="P874" s="177" t="s">
        <v>153</v>
      </c>
      <c r="Q874" s="416" t="s">
        <v>17</v>
      </c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</row>
    <row r="875" spans="1:50" s="10" customFormat="1" ht="14">
      <c r="A875"/>
      <c r="B875"/>
      <c r="C875"/>
      <c r="D875" s="155"/>
      <c r="E875" s="179"/>
      <c r="F875" s="180"/>
      <c r="G875" s="180"/>
      <c r="H875" s="180"/>
      <c r="I875" s="180"/>
      <c r="J875" s="180"/>
      <c r="K875" s="180"/>
      <c r="L875" s="181"/>
      <c r="M875" s="182"/>
      <c r="N875" s="183"/>
      <c r="O875" s="184"/>
      <c r="P875" s="185"/>
      <c r="Q875" s="417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</row>
    <row r="876" spans="1:50" s="10" customFormat="1" ht="14.5" thickBot="1">
      <c r="A876"/>
      <c r="B876"/>
      <c r="C876"/>
      <c r="D876" s="148"/>
      <c r="E876" s="186" t="s">
        <v>154</v>
      </c>
      <c r="F876" s="187"/>
      <c r="G876" s="187"/>
      <c r="H876" s="187"/>
      <c r="I876" s="187"/>
      <c r="J876" s="187"/>
      <c r="K876" s="187"/>
      <c r="L876" s="188"/>
      <c r="M876" s="189"/>
      <c r="N876" s="190"/>
      <c r="O876" s="220"/>
      <c r="P876" s="221">
        <f>M876*O876</f>
        <v>0</v>
      </c>
      <c r="Q876" s="421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</row>
    <row r="877" spans="1:50" s="10" customFormat="1" ht="14.5" thickTop="1">
      <c r="A877"/>
      <c r="B877"/>
      <c r="C877"/>
      <c r="D877" s="155"/>
      <c r="E877" s="191"/>
      <c r="F877" s="192"/>
      <c r="G877" s="192"/>
      <c r="H877" s="192"/>
      <c r="I877" s="192"/>
      <c r="J877" s="192"/>
      <c r="K877" s="192"/>
      <c r="L877" s="193"/>
      <c r="M877" s="194"/>
      <c r="N877" s="195"/>
      <c r="O877" s="253"/>
      <c r="P877" s="226">
        <f>M877*O877</f>
        <v>0</v>
      </c>
      <c r="Q877" s="421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</row>
    <row r="878" spans="1:50" s="10" customFormat="1" ht="14">
      <c r="A878"/>
      <c r="B878"/>
      <c r="C878"/>
      <c r="D878" s="155"/>
      <c r="E878" s="196"/>
      <c r="F878" s="197"/>
      <c r="G878" s="197"/>
      <c r="H878" s="197"/>
      <c r="I878" s="197"/>
      <c r="J878" s="197"/>
      <c r="K878" s="197"/>
      <c r="L878" s="198"/>
      <c r="M878" s="199"/>
      <c r="N878" s="200"/>
      <c r="O878" s="222"/>
      <c r="P878" s="214">
        <f t="shared" ref="P878" si="44">M878*O878</f>
        <v>0</v>
      </c>
      <c r="Q878" s="421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</row>
    <row r="879" spans="1:50" s="10" customFormat="1" ht="14">
      <c r="A879"/>
      <c r="B879"/>
      <c r="C879"/>
      <c r="D879" s="155"/>
      <c r="E879" s="272" t="s">
        <v>130</v>
      </c>
      <c r="F879" s="197"/>
      <c r="G879" s="274"/>
      <c r="H879" s="197"/>
      <c r="I879" s="197"/>
      <c r="J879" s="197"/>
      <c r="K879" s="197"/>
      <c r="L879" s="198"/>
      <c r="M879" s="199"/>
      <c r="N879" s="200"/>
      <c r="O879" s="222"/>
      <c r="P879" s="214">
        <f>M879*O879</f>
        <v>0</v>
      </c>
      <c r="Q879" s="421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</row>
    <row r="880" spans="1:50" s="10" customFormat="1" ht="14">
      <c r="A880"/>
      <c r="B880"/>
      <c r="C880"/>
      <c r="D880" s="155"/>
      <c r="E880" s="203" t="s">
        <v>454</v>
      </c>
      <c r="F880" s="197"/>
      <c r="G880" s="197"/>
      <c r="H880" s="197"/>
      <c r="I880" s="197"/>
      <c r="J880" s="197"/>
      <c r="K880" s="197"/>
      <c r="L880" s="198"/>
      <c r="M880" s="199">
        <v>70</v>
      </c>
      <c r="N880" s="200" t="s">
        <v>162</v>
      </c>
      <c r="O880" s="222">
        <v>5500</v>
      </c>
      <c r="P880" s="214">
        <f t="shared" ref="P880:P897" si="45">M880*O880</f>
        <v>385000</v>
      </c>
      <c r="Q880" s="421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</row>
    <row r="881" spans="1:50" s="10" customFormat="1" ht="14">
      <c r="A881"/>
      <c r="B881"/>
      <c r="C881"/>
      <c r="D881" s="155"/>
      <c r="E881" s="203" t="s">
        <v>793</v>
      </c>
      <c r="F881" s="197"/>
      <c r="G881" s="197"/>
      <c r="H881" s="197"/>
      <c r="I881" s="197"/>
      <c r="J881" s="197"/>
      <c r="K881" s="197"/>
      <c r="L881" s="198"/>
      <c r="M881" s="199">
        <v>2</v>
      </c>
      <c r="N881" s="200" t="s">
        <v>162</v>
      </c>
      <c r="O881" s="222">
        <v>7500</v>
      </c>
      <c r="P881" s="214">
        <f t="shared" si="45"/>
        <v>15000</v>
      </c>
      <c r="Q881" s="42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</row>
    <row r="882" spans="1:50" s="10" customFormat="1" ht="14">
      <c r="A882"/>
      <c r="B882"/>
      <c r="C882"/>
      <c r="D882" s="155"/>
      <c r="E882" s="203" t="s">
        <v>455</v>
      </c>
      <c r="F882" s="197"/>
      <c r="G882" s="197"/>
      <c r="H882" s="197"/>
      <c r="I882" s="197"/>
      <c r="J882" s="197"/>
      <c r="K882" s="197"/>
      <c r="L882" s="198"/>
      <c r="M882" s="199"/>
      <c r="N882" s="200" t="s">
        <v>162</v>
      </c>
      <c r="O882" s="222">
        <v>6500</v>
      </c>
      <c r="P882" s="214">
        <f t="shared" si="45"/>
        <v>0</v>
      </c>
      <c r="Q882" s="421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</row>
    <row r="883" spans="1:50" s="10" customFormat="1" ht="14">
      <c r="A883"/>
      <c r="B883"/>
      <c r="C883"/>
      <c r="D883" s="155"/>
      <c r="E883" s="203" t="s">
        <v>460</v>
      </c>
      <c r="F883" s="197"/>
      <c r="G883" s="197"/>
      <c r="H883" s="197"/>
      <c r="I883" s="197"/>
      <c r="J883" s="197"/>
      <c r="K883" s="197"/>
      <c r="L883" s="198"/>
      <c r="M883" s="199"/>
      <c r="N883" s="200" t="s">
        <v>162</v>
      </c>
      <c r="O883" s="222">
        <v>6500</v>
      </c>
      <c r="P883" s="214">
        <f t="shared" si="45"/>
        <v>0</v>
      </c>
      <c r="Q883" s="421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</row>
    <row r="884" spans="1:50" s="10" customFormat="1" ht="14">
      <c r="A884"/>
      <c r="B884"/>
      <c r="C884"/>
      <c r="D884" s="155"/>
      <c r="E884" s="203" t="s">
        <v>456</v>
      </c>
      <c r="F884" s="197"/>
      <c r="G884" s="197"/>
      <c r="H884" s="197"/>
      <c r="I884" s="197"/>
      <c r="J884" s="197"/>
      <c r="K884" s="197"/>
      <c r="L884" s="198"/>
      <c r="M884" s="199">
        <v>12</v>
      </c>
      <c r="N884" s="200" t="s">
        <v>162</v>
      </c>
      <c r="O884" s="222">
        <v>3200</v>
      </c>
      <c r="P884" s="214">
        <f t="shared" si="45"/>
        <v>38400</v>
      </c>
      <c r="Q884" s="421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</row>
    <row r="885" spans="1:50" s="10" customFormat="1" ht="14">
      <c r="A885"/>
      <c r="B885"/>
      <c r="C885"/>
      <c r="D885" s="155"/>
      <c r="E885" s="203" t="s">
        <v>457</v>
      </c>
      <c r="F885" s="197"/>
      <c r="G885" s="197"/>
      <c r="H885" s="197"/>
      <c r="I885" s="197"/>
      <c r="J885" s="197"/>
      <c r="K885" s="197"/>
      <c r="L885" s="198"/>
      <c r="M885" s="199">
        <v>450</v>
      </c>
      <c r="N885" s="200" t="s">
        <v>7</v>
      </c>
      <c r="O885" s="222">
        <v>50</v>
      </c>
      <c r="P885" s="214">
        <f t="shared" si="45"/>
        <v>22500</v>
      </c>
      <c r="Q885" s="421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</row>
    <row r="886" spans="1:50" s="10" customFormat="1" ht="14">
      <c r="A886"/>
      <c r="B886"/>
      <c r="C886"/>
      <c r="D886" s="155"/>
      <c r="E886" s="203" t="s">
        <v>624</v>
      </c>
      <c r="F886" s="197"/>
      <c r="G886" s="197"/>
      <c r="H886" s="197" t="s">
        <v>776</v>
      </c>
      <c r="I886" s="197"/>
      <c r="J886" s="197"/>
      <c r="K886" s="197"/>
      <c r="L886" s="198"/>
      <c r="M886" s="199">
        <v>1</v>
      </c>
      <c r="N886" s="200" t="s">
        <v>162</v>
      </c>
      <c r="O886" s="222">
        <v>12000</v>
      </c>
      <c r="P886" s="214">
        <f t="shared" si="45"/>
        <v>12000</v>
      </c>
      <c r="Q886" s="421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</row>
    <row r="887" spans="1:50" s="10" customFormat="1" ht="14">
      <c r="A887"/>
      <c r="B887"/>
      <c r="C887"/>
      <c r="D887" s="155"/>
      <c r="E887" s="203" t="s">
        <v>458</v>
      </c>
      <c r="F887" s="197"/>
      <c r="G887" s="197"/>
      <c r="H887" s="197" t="s">
        <v>689</v>
      </c>
      <c r="I887" s="197"/>
      <c r="J887" s="197"/>
      <c r="K887" s="197"/>
      <c r="L887" s="198"/>
      <c r="M887" s="206">
        <v>3</v>
      </c>
      <c r="N887" s="200" t="s">
        <v>162</v>
      </c>
      <c r="O887" s="222">
        <v>6500</v>
      </c>
      <c r="P887" s="214">
        <f t="shared" si="45"/>
        <v>19500</v>
      </c>
      <c r="Q887" s="421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</row>
    <row r="888" spans="1:50" s="10" customFormat="1" ht="14">
      <c r="A888"/>
      <c r="B888"/>
      <c r="C888"/>
      <c r="D888" s="155"/>
      <c r="E888" s="203" t="s">
        <v>459</v>
      </c>
      <c r="F888" s="197"/>
      <c r="G888" s="197"/>
      <c r="H888" s="197"/>
      <c r="I888" s="197"/>
      <c r="J888" s="197"/>
      <c r="K888" s="197"/>
      <c r="L888" s="198"/>
      <c r="M888" s="199">
        <v>8</v>
      </c>
      <c r="N888" s="200" t="s">
        <v>162</v>
      </c>
      <c r="O888" s="222">
        <v>2300</v>
      </c>
      <c r="P888" s="214">
        <f t="shared" si="45"/>
        <v>18400</v>
      </c>
      <c r="Q888" s="421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</row>
    <row r="889" spans="1:50" s="10" customFormat="1" ht="14">
      <c r="A889"/>
      <c r="B889"/>
      <c r="C889"/>
      <c r="D889" s="155"/>
      <c r="E889" s="203" t="s">
        <v>725</v>
      </c>
      <c r="F889" s="197"/>
      <c r="G889" s="197"/>
      <c r="H889" s="197"/>
      <c r="I889" s="197"/>
      <c r="J889" s="197"/>
      <c r="K889" s="197"/>
      <c r="L889" s="198"/>
      <c r="M889" s="206">
        <f>60*4</f>
        <v>240</v>
      </c>
      <c r="N889" s="200" t="s">
        <v>7</v>
      </c>
      <c r="O889" s="222">
        <v>475</v>
      </c>
      <c r="P889" s="214">
        <f t="shared" si="45"/>
        <v>114000</v>
      </c>
      <c r="Q889" s="421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</row>
    <row r="890" spans="1:50" s="10" customFormat="1" ht="14">
      <c r="A890"/>
      <c r="B890"/>
      <c r="C890"/>
      <c r="D890" s="155"/>
      <c r="E890" s="196" t="s">
        <v>648</v>
      </c>
      <c r="F890" s="197"/>
      <c r="G890" s="197"/>
      <c r="H890" s="197"/>
      <c r="I890" s="197"/>
      <c r="J890" s="197"/>
      <c r="K890" s="197"/>
      <c r="L890" s="198"/>
      <c r="M890" s="206">
        <v>2</v>
      </c>
      <c r="N890" s="200" t="s">
        <v>162</v>
      </c>
      <c r="O890" s="222">
        <v>6500</v>
      </c>
      <c r="P890" s="214">
        <f t="shared" si="45"/>
        <v>13000</v>
      </c>
      <c r="Q890" s="421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</row>
    <row r="891" spans="1:50" s="10" customFormat="1" ht="14">
      <c r="A891"/>
      <c r="B891"/>
      <c r="C891"/>
      <c r="D891" s="155"/>
      <c r="E891" s="196" t="s">
        <v>649</v>
      </c>
      <c r="F891" s="197"/>
      <c r="G891" s="197"/>
      <c r="H891" s="197"/>
      <c r="I891" s="197"/>
      <c r="J891" s="197"/>
      <c r="K891" s="197"/>
      <c r="L891" s="198"/>
      <c r="M891" s="206">
        <v>2</v>
      </c>
      <c r="N891" s="200" t="s">
        <v>162</v>
      </c>
      <c r="O891" s="222">
        <v>5500</v>
      </c>
      <c r="P891" s="214">
        <f t="shared" si="45"/>
        <v>11000</v>
      </c>
      <c r="Q891" s="42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</row>
    <row r="892" spans="1:50" s="10" customFormat="1" ht="14">
      <c r="A892"/>
      <c r="B892"/>
      <c r="C892"/>
      <c r="D892" s="155"/>
      <c r="E892" s="196" t="s">
        <v>691</v>
      </c>
      <c r="F892" s="197"/>
      <c r="G892" s="197"/>
      <c r="H892" s="197"/>
      <c r="I892" s="197"/>
      <c r="J892" s="197"/>
      <c r="K892" s="197"/>
      <c r="L892" s="198"/>
      <c r="M892" s="206">
        <v>8</v>
      </c>
      <c r="N892" s="200" t="s">
        <v>162</v>
      </c>
      <c r="O892" s="222">
        <v>3500</v>
      </c>
      <c r="P892" s="214">
        <f t="shared" si="45"/>
        <v>28000</v>
      </c>
      <c r="Q892" s="421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</row>
    <row r="893" spans="1:50" s="10" customFormat="1" ht="14">
      <c r="A893"/>
      <c r="B893"/>
      <c r="C893"/>
      <c r="D893" s="155"/>
      <c r="E893" s="196" t="s">
        <v>690</v>
      </c>
      <c r="F893" s="197"/>
      <c r="G893" s="197"/>
      <c r="H893" s="197"/>
      <c r="I893" s="197"/>
      <c r="J893" s="197"/>
      <c r="K893" s="197"/>
      <c r="L893" s="198"/>
      <c r="M893" s="206">
        <v>2</v>
      </c>
      <c r="N893" s="200" t="s">
        <v>162</v>
      </c>
      <c r="O893" s="222">
        <v>6500</v>
      </c>
      <c r="P893" s="214">
        <f t="shared" si="45"/>
        <v>13000</v>
      </c>
      <c r="Q893" s="421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</row>
    <row r="894" spans="1:50" s="10" customFormat="1" ht="14">
      <c r="A894"/>
      <c r="B894"/>
      <c r="C894"/>
      <c r="D894" s="155"/>
      <c r="E894" s="196" t="s">
        <v>729</v>
      </c>
      <c r="F894" s="197"/>
      <c r="G894" s="197"/>
      <c r="H894" s="197"/>
      <c r="I894" s="197"/>
      <c r="J894" s="197"/>
      <c r="K894" s="197"/>
      <c r="L894" s="198"/>
      <c r="M894" s="206">
        <v>1</v>
      </c>
      <c r="N894" s="200" t="s">
        <v>164</v>
      </c>
      <c r="O894" s="222">
        <v>50000</v>
      </c>
      <c r="P894" s="214">
        <f t="shared" si="45"/>
        <v>50000</v>
      </c>
      <c r="Q894" s="421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</row>
    <row r="895" spans="1:50" s="10" customFormat="1" ht="14">
      <c r="A895"/>
      <c r="B895"/>
      <c r="C895"/>
      <c r="D895" s="155"/>
      <c r="E895" s="196" t="s">
        <v>784</v>
      </c>
      <c r="F895" s="197"/>
      <c r="G895" s="197"/>
      <c r="H895" s="197"/>
      <c r="I895" s="197"/>
      <c r="J895" s="197"/>
      <c r="K895" s="197"/>
      <c r="L895" s="198"/>
      <c r="M895" s="199">
        <v>1</v>
      </c>
      <c r="N895" s="200" t="s">
        <v>164</v>
      </c>
      <c r="O895" s="246">
        <v>10000</v>
      </c>
      <c r="P895" s="214">
        <f t="shared" si="45"/>
        <v>10000</v>
      </c>
      <c r="Q895" s="421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</row>
    <row r="896" spans="1:50" s="10" customFormat="1" ht="14">
      <c r="A896"/>
      <c r="B896"/>
      <c r="C896"/>
      <c r="D896" s="155"/>
      <c r="E896" s="196" t="s">
        <v>813</v>
      </c>
      <c r="F896" s="197"/>
      <c r="G896" s="197"/>
      <c r="H896" s="197"/>
      <c r="I896" s="197"/>
      <c r="J896" s="197"/>
      <c r="K896" s="197"/>
      <c r="L896" s="198"/>
      <c r="M896" s="199"/>
      <c r="N896" s="200" t="s">
        <v>164</v>
      </c>
      <c r="O896" s="246">
        <v>150000</v>
      </c>
      <c r="P896" s="214">
        <f t="shared" si="45"/>
        <v>0</v>
      </c>
      <c r="Q896" s="421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</row>
    <row r="897" spans="1:50" s="10" customFormat="1" ht="14">
      <c r="A897"/>
      <c r="B897"/>
      <c r="C897"/>
      <c r="D897" s="155"/>
      <c r="E897" s="196"/>
      <c r="F897" s="197"/>
      <c r="G897" s="197"/>
      <c r="H897" s="197"/>
      <c r="I897" s="197"/>
      <c r="J897" s="197"/>
      <c r="K897" s="197"/>
      <c r="L897" s="198"/>
      <c r="M897" s="199"/>
      <c r="N897" s="200"/>
      <c r="O897" s="246"/>
      <c r="P897" s="214">
        <f t="shared" si="45"/>
        <v>0</v>
      </c>
      <c r="Q897" s="421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</row>
    <row r="898" spans="1:50" s="10" customFormat="1" ht="14">
      <c r="A898"/>
      <c r="B898"/>
      <c r="C898"/>
      <c r="D898" s="155"/>
      <c r="E898" s="179"/>
      <c r="F898" s="180"/>
      <c r="G898" s="180"/>
      <c r="H898" s="180"/>
      <c r="I898" s="180"/>
      <c r="J898" s="180"/>
      <c r="K898" s="180"/>
      <c r="L898" s="181"/>
      <c r="M898" s="182"/>
      <c r="N898" s="183"/>
      <c r="O898" s="184"/>
      <c r="P898" s="185"/>
      <c r="Q898" s="185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</row>
    <row r="899" spans="1:50" s="10" customFormat="1" ht="14">
      <c r="A899"/>
      <c r="B899"/>
      <c r="C899"/>
      <c r="D899" s="155"/>
      <c r="E899" s="196"/>
      <c r="F899" s="197"/>
      <c r="G899" s="197"/>
      <c r="H899" s="197"/>
      <c r="I899" s="197"/>
      <c r="J899" s="197"/>
      <c r="K899" s="197"/>
      <c r="L899" s="198"/>
      <c r="M899" s="199"/>
      <c r="N899" s="200"/>
      <c r="O899" s="246"/>
      <c r="P899" s="214">
        <f>SUM(P875:P898)</f>
        <v>749800</v>
      </c>
      <c r="Q899" s="421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</row>
    <row r="900" spans="1:50" s="10" customFormat="1" ht="14">
      <c r="A900"/>
      <c r="B900"/>
      <c r="C900"/>
      <c r="D900" s="155"/>
      <c r="E900" s="154"/>
      <c r="F900" s="154"/>
      <c r="G900" s="154"/>
      <c r="H900" s="154"/>
      <c r="I900" s="154"/>
      <c r="J900" s="154"/>
      <c r="K900" s="154"/>
      <c r="L900" s="154"/>
      <c r="M900" s="156"/>
      <c r="N900" s="157"/>
      <c r="O900" s="158"/>
      <c r="P900" s="159"/>
      <c r="Q900" s="16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</row>
    <row r="901" spans="1:50" s="10" customFormat="1" ht="14">
      <c r="A901"/>
      <c r="B901"/>
      <c r="C901"/>
      <c r="D901" s="155"/>
      <c r="E901" s="169"/>
      <c r="F901" s="163"/>
      <c r="G901" s="163"/>
      <c r="H901" s="163"/>
      <c r="I901" s="163"/>
      <c r="J901" s="163"/>
      <c r="K901" s="163"/>
      <c r="L901" s="163"/>
      <c r="M901" s="164"/>
      <c r="N901" s="165"/>
      <c r="O901" s="166"/>
      <c r="P901" s="167"/>
      <c r="Q901" s="167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</row>
    <row r="902" spans="1:50" s="10" customFormat="1" ht="14">
      <c r="A902"/>
      <c r="B902"/>
      <c r="C902"/>
      <c r="D902" s="155"/>
      <c r="E902" s="168" t="str">
        <f>RECAP!F58</f>
        <v>HVAC</v>
      </c>
      <c r="F902" s="163"/>
      <c r="G902" s="163"/>
      <c r="H902" s="163"/>
      <c r="I902" s="163"/>
      <c r="J902" s="163"/>
      <c r="K902" s="163"/>
      <c r="L902" s="163"/>
      <c r="M902" s="164"/>
      <c r="N902" s="165"/>
      <c r="O902" s="166"/>
      <c r="P902" s="167"/>
      <c r="Q902" s="167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</row>
    <row r="903" spans="1:50" s="10" customFormat="1" ht="14">
      <c r="A903"/>
      <c r="B903"/>
      <c r="C903"/>
      <c r="D903" s="155"/>
      <c r="E903" s="154"/>
      <c r="F903" s="154"/>
      <c r="G903" s="154"/>
      <c r="H903" s="154"/>
      <c r="I903" s="154"/>
      <c r="J903" s="154"/>
      <c r="K903" s="154"/>
      <c r="L903" s="154"/>
      <c r="M903" s="156"/>
      <c r="N903" s="157"/>
      <c r="O903" s="158"/>
      <c r="P903" s="159"/>
      <c r="Q903" s="160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</row>
    <row r="904" spans="1:50" s="10" customFormat="1" ht="14">
      <c r="A904"/>
      <c r="B904"/>
      <c r="C904"/>
      <c r="D904" s="170"/>
      <c r="E904" s="171"/>
      <c r="F904" s="172"/>
      <c r="G904" s="172" t="s">
        <v>13</v>
      </c>
      <c r="H904" s="172"/>
      <c r="I904" s="172"/>
      <c r="J904" s="172"/>
      <c r="K904" s="172"/>
      <c r="L904" s="173"/>
      <c r="M904" s="174" t="s">
        <v>23</v>
      </c>
      <c r="N904" s="175" t="s">
        <v>151</v>
      </c>
      <c r="O904" s="176" t="s">
        <v>152</v>
      </c>
      <c r="P904" s="177" t="s">
        <v>153</v>
      </c>
      <c r="Q904" s="416" t="s">
        <v>17</v>
      </c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</row>
    <row r="905" spans="1:50" s="10" customFormat="1" ht="14">
      <c r="A905"/>
      <c r="B905"/>
      <c r="C905"/>
      <c r="D905" s="155"/>
      <c r="E905" s="179"/>
      <c r="F905" s="180"/>
      <c r="G905" s="180"/>
      <c r="H905" s="180"/>
      <c r="I905" s="180"/>
      <c r="J905" s="180"/>
      <c r="K905" s="180"/>
      <c r="L905" s="181"/>
      <c r="M905" s="182"/>
      <c r="N905" s="183"/>
      <c r="O905" s="184"/>
      <c r="P905" s="185"/>
      <c r="Q905" s="417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</row>
    <row r="906" spans="1:50" s="10" customFormat="1" ht="14.5" thickBot="1">
      <c r="A906"/>
      <c r="B906"/>
      <c r="C906"/>
      <c r="D906" s="148"/>
      <c r="E906" s="186" t="s">
        <v>154</v>
      </c>
      <c r="F906" s="187"/>
      <c r="G906" s="187"/>
      <c r="H906" s="187"/>
      <c r="I906" s="187"/>
      <c r="J906" s="187"/>
      <c r="K906" s="187"/>
      <c r="L906" s="188"/>
      <c r="M906" s="189"/>
      <c r="N906" s="190"/>
      <c r="O906" s="220"/>
      <c r="P906" s="221">
        <f>M906*O906</f>
        <v>0</v>
      </c>
      <c r="Q906" s="421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</row>
    <row r="907" spans="1:50" s="10" customFormat="1" ht="14.5" thickTop="1">
      <c r="A907"/>
      <c r="B907"/>
      <c r="C907"/>
      <c r="D907" s="155"/>
      <c r="E907" s="196"/>
      <c r="F907" s="197"/>
      <c r="G907" s="197"/>
      <c r="H907" s="197"/>
      <c r="I907" s="197"/>
      <c r="J907" s="197"/>
      <c r="K907" s="197"/>
      <c r="L907" s="198"/>
      <c r="M907" s="199"/>
      <c r="N907" s="200"/>
      <c r="O907" s="222"/>
      <c r="P907" s="214">
        <f t="shared" ref="P907:P920" si="46">M907*O907</f>
        <v>0</v>
      </c>
      <c r="Q907" s="421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</row>
    <row r="908" spans="1:50" s="10" customFormat="1" ht="14">
      <c r="A908"/>
      <c r="B908"/>
      <c r="C908"/>
      <c r="D908" s="155"/>
      <c r="E908" s="203"/>
      <c r="F908" s="197"/>
      <c r="G908" s="197"/>
      <c r="H908" s="197"/>
      <c r="I908" s="197"/>
      <c r="J908" s="197"/>
      <c r="K908" s="197"/>
      <c r="L908" s="198"/>
      <c r="M908" s="199"/>
      <c r="N908" s="200"/>
      <c r="O908" s="222"/>
      <c r="P908" s="214">
        <f t="shared" si="46"/>
        <v>0</v>
      </c>
      <c r="Q908" s="421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</row>
    <row r="909" spans="1:50" s="10" customFormat="1" ht="14">
      <c r="A909"/>
      <c r="B909"/>
      <c r="C909"/>
      <c r="D909" s="155"/>
      <c r="E909" s="254" t="s">
        <v>107</v>
      </c>
      <c r="F909" s="197"/>
      <c r="G909" s="274"/>
      <c r="H909" s="197"/>
      <c r="I909" s="197"/>
      <c r="J909" s="197"/>
      <c r="K909" s="197"/>
      <c r="L909" s="198"/>
      <c r="M909" s="199"/>
      <c r="N909" s="200"/>
      <c r="O909" s="222"/>
      <c r="P909" s="214">
        <f t="shared" si="46"/>
        <v>0</v>
      </c>
      <c r="Q909" s="421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</row>
    <row r="910" spans="1:50" s="10" customFormat="1" ht="14">
      <c r="A910"/>
      <c r="B910"/>
      <c r="C910"/>
      <c r="D910" s="155"/>
      <c r="E910" s="203" t="s">
        <v>461</v>
      </c>
      <c r="F910" s="197"/>
      <c r="G910" s="197"/>
      <c r="H910" s="197"/>
      <c r="I910" s="197"/>
      <c r="J910" s="197"/>
      <c r="K910" s="197"/>
      <c r="L910" s="198"/>
      <c r="M910" s="199">
        <v>140</v>
      </c>
      <c r="N910" s="200" t="s">
        <v>241</v>
      </c>
      <c r="O910" s="222">
        <v>9800</v>
      </c>
      <c r="P910" s="214">
        <f t="shared" si="46"/>
        <v>1372000</v>
      </c>
      <c r="Q910" s="421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</row>
    <row r="911" spans="1:50" s="10" customFormat="1" ht="14">
      <c r="A911"/>
      <c r="B911"/>
      <c r="C911"/>
      <c r="D911" s="155"/>
      <c r="E911" s="203" t="s">
        <v>688</v>
      </c>
      <c r="F911" s="197"/>
      <c r="G911" s="197"/>
      <c r="H911" s="197"/>
      <c r="I911" s="197"/>
      <c r="J911" s="197"/>
      <c r="K911" s="197"/>
      <c r="L911" s="198"/>
      <c r="M911" s="199">
        <v>40</v>
      </c>
      <c r="N911" s="200" t="s">
        <v>162</v>
      </c>
      <c r="O911" s="222">
        <v>6500</v>
      </c>
      <c r="P911" s="214">
        <f t="shared" si="46"/>
        <v>260000</v>
      </c>
      <c r="Q911" s="42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</row>
    <row r="912" spans="1:50" s="10" customFormat="1" ht="14">
      <c r="A912"/>
      <c r="B912"/>
      <c r="C912"/>
      <c r="D912" s="155"/>
      <c r="E912" s="203" t="s">
        <v>462</v>
      </c>
      <c r="F912" s="197"/>
      <c r="G912" s="197"/>
      <c r="H912" s="197"/>
      <c r="I912" s="197"/>
      <c r="J912" s="197"/>
      <c r="K912" s="197"/>
      <c r="L912" s="198"/>
      <c r="M912" s="199">
        <v>10</v>
      </c>
      <c r="N912" s="200" t="s">
        <v>162</v>
      </c>
      <c r="O912" s="222">
        <v>7500</v>
      </c>
      <c r="P912" s="214">
        <f t="shared" si="46"/>
        <v>75000</v>
      </c>
      <c r="Q912" s="421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</row>
    <row r="913" spans="1:50" s="10" customFormat="1" ht="14">
      <c r="A913"/>
      <c r="B913"/>
      <c r="C913"/>
      <c r="D913" s="155"/>
      <c r="E913" s="203" t="s">
        <v>794</v>
      </c>
      <c r="F913" s="197"/>
      <c r="G913" s="197"/>
      <c r="H913" s="197"/>
      <c r="I913" s="197"/>
      <c r="J913" s="197"/>
      <c r="K913" s="197"/>
      <c r="L913" s="198"/>
      <c r="M913" s="199">
        <v>2</v>
      </c>
      <c r="N913" s="200" t="s">
        <v>162</v>
      </c>
      <c r="O913" s="222">
        <v>8500</v>
      </c>
      <c r="P913" s="214">
        <f t="shared" si="46"/>
        <v>17000</v>
      </c>
      <c r="Q913" s="421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</row>
    <row r="914" spans="1:50" s="10" customFormat="1" ht="14">
      <c r="A914"/>
      <c r="B914"/>
      <c r="C914"/>
      <c r="D914" s="155"/>
      <c r="E914" s="203" t="s">
        <v>785</v>
      </c>
      <c r="F914" s="197"/>
      <c r="G914" s="197"/>
      <c r="H914" s="197"/>
      <c r="I914" s="197"/>
      <c r="J914" s="197"/>
      <c r="K914" s="197"/>
      <c r="L914" s="198"/>
      <c r="M914" s="199">
        <v>2</v>
      </c>
      <c r="N914" s="200" t="s">
        <v>162</v>
      </c>
      <c r="O914" s="222">
        <v>15000</v>
      </c>
      <c r="P914" s="214">
        <f t="shared" si="46"/>
        <v>30000</v>
      </c>
      <c r="Q914" s="421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</row>
    <row r="915" spans="1:50" s="10" customFormat="1" ht="14">
      <c r="A915"/>
      <c r="B915"/>
      <c r="C915"/>
      <c r="D915" s="155"/>
      <c r="E915" s="203" t="s">
        <v>687</v>
      </c>
      <c r="F915" s="197"/>
      <c r="G915" s="197"/>
      <c r="H915" s="197"/>
      <c r="I915" s="197"/>
      <c r="J915" s="197"/>
      <c r="K915" s="197"/>
      <c r="L915" s="198"/>
      <c r="M915" s="199">
        <v>6</v>
      </c>
      <c r="N915" s="200" t="s">
        <v>162</v>
      </c>
      <c r="O915" s="222">
        <v>6500</v>
      </c>
      <c r="P915" s="214">
        <f t="shared" si="46"/>
        <v>39000</v>
      </c>
      <c r="Q915" s="421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</row>
    <row r="916" spans="1:50" s="10" customFormat="1" ht="14">
      <c r="A916"/>
      <c r="B916"/>
      <c r="C916"/>
      <c r="D916" s="155"/>
      <c r="E916" s="203" t="s">
        <v>463</v>
      </c>
      <c r="F916" s="197"/>
      <c r="G916" s="197"/>
      <c r="H916" s="276"/>
      <c r="I916" s="197"/>
      <c r="J916" s="276"/>
      <c r="K916" s="197"/>
      <c r="L916" s="198"/>
      <c r="M916" s="199">
        <v>46290</v>
      </c>
      <c r="N916" s="200" t="s">
        <v>5</v>
      </c>
      <c r="O916" s="222">
        <v>5</v>
      </c>
      <c r="P916" s="214">
        <f t="shared" si="46"/>
        <v>231450</v>
      </c>
      <c r="Q916" s="421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</row>
    <row r="917" spans="1:50" s="10" customFormat="1" ht="14">
      <c r="A917"/>
      <c r="B917"/>
      <c r="C917"/>
      <c r="D917" s="155"/>
      <c r="E917" s="203" t="s">
        <v>464</v>
      </c>
      <c r="F917" s="197"/>
      <c r="G917" s="197"/>
      <c r="H917" s="276"/>
      <c r="I917" s="197"/>
      <c r="J917" s="276"/>
      <c r="K917" s="197"/>
      <c r="L917" s="198"/>
      <c r="M917" s="199">
        <v>46290</v>
      </c>
      <c r="N917" s="200" t="s">
        <v>5</v>
      </c>
      <c r="O917" s="222">
        <v>1</v>
      </c>
      <c r="P917" s="214">
        <f t="shared" si="46"/>
        <v>46290</v>
      </c>
      <c r="Q917" s="421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</row>
    <row r="918" spans="1:50" s="10" customFormat="1" ht="14">
      <c r="A918"/>
      <c r="B918"/>
      <c r="C918"/>
      <c r="D918" s="155"/>
      <c r="E918" s="203" t="s">
        <v>774</v>
      </c>
      <c r="F918" s="197"/>
      <c r="G918" s="197"/>
      <c r="H918" s="197" t="s">
        <v>830</v>
      </c>
      <c r="I918" s="197"/>
      <c r="J918" s="197"/>
      <c r="K918" s="197"/>
      <c r="L918" s="198"/>
      <c r="M918" s="206">
        <v>1</v>
      </c>
      <c r="N918" s="200" t="s">
        <v>162</v>
      </c>
      <c r="O918" s="222">
        <v>35000</v>
      </c>
      <c r="P918" s="214">
        <f t="shared" si="46"/>
        <v>35000</v>
      </c>
      <c r="Q918" s="421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</row>
    <row r="919" spans="1:50" s="10" customFormat="1" ht="14">
      <c r="A919"/>
      <c r="B919"/>
      <c r="C919"/>
      <c r="D919" s="155"/>
      <c r="E919" s="196" t="s">
        <v>728</v>
      </c>
      <c r="F919" s="197"/>
      <c r="G919" s="197"/>
      <c r="H919" s="197"/>
      <c r="I919" s="197"/>
      <c r="J919" s="197"/>
      <c r="K919" s="197"/>
      <c r="L919" s="198"/>
      <c r="M919" s="199">
        <v>1</v>
      </c>
      <c r="N919" s="200" t="s">
        <v>164</v>
      </c>
      <c r="O919" s="246">
        <v>125000</v>
      </c>
      <c r="P919" s="214">
        <f t="shared" si="46"/>
        <v>125000</v>
      </c>
      <c r="Q919" s="421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</row>
    <row r="920" spans="1:50" s="10" customFormat="1" ht="14">
      <c r="A920"/>
      <c r="B920"/>
      <c r="C920"/>
      <c r="D920" s="155"/>
      <c r="E920" s="196"/>
      <c r="F920" s="197"/>
      <c r="G920" s="197"/>
      <c r="H920" s="197"/>
      <c r="I920" s="197"/>
      <c r="J920" s="197"/>
      <c r="K920" s="197"/>
      <c r="L920" s="198"/>
      <c r="M920" s="199"/>
      <c r="N920" s="200"/>
      <c r="O920" s="246"/>
      <c r="P920" s="214">
        <f t="shared" si="46"/>
        <v>0</v>
      </c>
      <c r="Q920" s="421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</row>
    <row r="921" spans="1:50" s="10" customFormat="1" ht="14">
      <c r="A921"/>
      <c r="B921"/>
      <c r="C921"/>
      <c r="D921" s="155"/>
      <c r="E921" s="179"/>
      <c r="F921" s="180"/>
      <c r="G921" s="180"/>
      <c r="H921" s="180"/>
      <c r="I921" s="180"/>
      <c r="J921" s="180"/>
      <c r="K921" s="180"/>
      <c r="L921" s="181"/>
      <c r="M921" s="182"/>
      <c r="N921" s="183"/>
      <c r="O921" s="184"/>
      <c r="P921" s="185"/>
      <c r="Q921" s="185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</row>
    <row r="922" spans="1:50" s="10" customFormat="1" ht="14">
      <c r="A922"/>
      <c r="B922"/>
      <c r="C922"/>
      <c r="D922" s="155"/>
      <c r="E922" s="196"/>
      <c r="F922" s="197"/>
      <c r="G922" s="197"/>
      <c r="H922" s="197"/>
      <c r="I922" s="197"/>
      <c r="J922" s="197"/>
      <c r="K922" s="197"/>
      <c r="L922" s="198"/>
      <c r="M922" s="199"/>
      <c r="N922" s="200"/>
      <c r="O922" s="246"/>
      <c r="P922" s="214">
        <f>SUM(P905:P921)</f>
        <v>2230740</v>
      </c>
      <c r="Q922" s="421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</row>
    <row r="923" spans="1:50" s="10" customFormat="1" ht="14">
      <c r="A923"/>
      <c r="B923"/>
      <c r="C923"/>
      <c r="D923" s="155"/>
      <c r="E923" s="154"/>
      <c r="F923" s="154"/>
      <c r="G923" s="154"/>
      <c r="H923" s="154"/>
      <c r="I923" s="154"/>
      <c r="J923" s="154"/>
      <c r="K923" s="154"/>
      <c r="L923" s="154"/>
      <c r="M923" s="156"/>
      <c r="N923" s="157"/>
      <c r="O923" s="158"/>
      <c r="P923" s="159"/>
      <c r="Q923" s="134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</row>
    <row r="924" spans="1:50" s="10" customFormat="1" ht="14.5">
      <c r="A924" s="6"/>
      <c r="B924" s="6"/>
      <c r="C924" s="6"/>
      <c r="D924" s="148"/>
      <c r="E924" s="147"/>
      <c r="F924" s="147" t="s">
        <v>110</v>
      </c>
      <c r="G924" s="147"/>
      <c r="H924" s="147"/>
      <c r="I924" s="147"/>
      <c r="J924" s="147"/>
      <c r="K924" s="147"/>
      <c r="L924" s="147"/>
      <c r="M924" s="149"/>
      <c r="N924" s="150"/>
      <c r="O924" s="151"/>
      <c r="P924" s="152"/>
      <c r="Q924" s="152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</row>
    <row r="925" spans="1:50" s="10" customFormat="1" ht="14">
      <c r="A925"/>
      <c r="B925"/>
      <c r="C925"/>
      <c r="D925" s="155"/>
      <c r="E925" s="154"/>
      <c r="F925" s="154"/>
      <c r="G925" s="154"/>
      <c r="H925" s="154"/>
      <c r="I925" s="154"/>
      <c r="J925" s="154"/>
      <c r="K925" s="154"/>
      <c r="L925" s="154"/>
      <c r="M925" s="156"/>
      <c r="N925" s="157"/>
      <c r="O925" s="158"/>
      <c r="P925" s="159"/>
      <c r="Q925" s="160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</row>
    <row r="926" spans="1:50" s="10" customFormat="1" ht="14">
      <c r="A926"/>
      <c r="B926"/>
      <c r="C926"/>
      <c r="D926" s="155"/>
      <c r="E926" s="169"/>
      <c r="F926" s="163"/>
      <c r="G926" s="163"/>
      <c r="H926" s="163"/>
      <c r="I926" s="163"/>
      <c r="J926" s="163"/>
      <c r="K926" s="163"/>
      <c r="L926" s="163"/>
      <c r="M926" s="164"/>
      <c r="N926" s="165"/>
      <c r="O926" s="166"/>
      <c r="P926" s="167"/>
      <c r="Q926" s="167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</row>
    <row r="927" spans="1:50" s="10" customFormat="1" ht="14">
      <c r="A927"/>
      <c r="B927"/>
      <c r="C927"/>
      <c r="D927" s="155"/>
      <c r="E927" s="168" t="str">
        <f>RECAP!F60</f>
        <v>ELECTRICAL</v>
      </c>
      <c r="F927" s="163"/>
      <c r="G927" s="163"/>
      <c r="H927" s="163"/>
      <c r="I927" s="163"/>
      <c r="J927" s="163"/>
      <c r="K927" s="163"/>
      <c r="L927" s="163"/>
      <c r="M927" s="164"/>
      <c r="N927" s="165"/>
      <c r="O927" s="166"/>
      <c r="P927" s="167"/>
      <c r="Q927" s="16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</row>
    <row r="928" spans="1:50" s="10" customFormat="1" ht="14">
      <c r="A928"/>
      <c r="B928"/>
      <c r="C928"/>
      <c r="D928" s="155"/>
      <c r="E928" s="154"/>
      <c r="F928" s="154"/>
      <c r="G928" s="154"/>
      <c r="H928" s="154"/>
      <c r="I928" s="154"/>
      <c r="J928" s="154"/>
      <c r="K928" s="154"/>
      <c r="L928" s="154"/>
      <c r="M928" s="156"/>
      <c r="N928" s="157"/>
      <c r="O928" s="158"/>
      <c r="P928" s="159"/>
      <c r="Q928" s="160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</row>
    <row r="929" spans="1:50" s="10" customFormat="1" ht="14">
      <c r="A929"/>
      <c r="B929"/>
      <c r="C929"/>
      <c r="D929" s="170"/>
      <c r="E929" s="171"/>
      <c r="F929" s="172"/>
      <c r="G929" s="172" t="s">
        <v>13</v>
      </c>
      <c r="H929" s="172"/>
      <c r="I929" s="172"/>
      <c r="J929" s="172"/>
      <c r="K929" s="172"/>
      <c r="L929" s="173"/>
      <c r="M929" s="174" t="s">
        <v>23</v>
      </c>
      <c r="N929" s="175" t="s">
        <v>151</v>
      </c>
      <c r="O929" s="176" t="s">
        <v>152</v>
      </c>
      <c r="P929" s="177" t="s">
        <v>153</v>
      </c>
      <c r="Q929" s="416" t="s">
        <v>17</v>
      </c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</row>
    <row r="930" spans="1:50" s="10" customFormat="1" ht="14">
      <c r="A930"/>
      <c r="B930"/>
      <c r="C930"/>
      <c r="D930" s="155"/>
      <c r="E930" s="179"/>
      <c r="F930" s="180"/>
      <c r="G930" s="180"/>
      <c r="H930" s="180"/>
      <c r="I930" s="180"/>
      <c r="J930" s="180"/>
      <c r="K930" s="180"/>
      <c r="L930" s="181"/>
      <c r="M930" s="182"/>
      <c r="N930" s="183"/>
      <c r="O930" s="184"/>
      <c r="P930" s="185"/>
      <c r="Q930" s="417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</row>
    <row r="931" spans="1:50" s="10" customFormat="1" ht="14.5" thickBot="1">
      <c r="A931"/>
      <c r="B931"/>
      <c r="C931"/>
      <c r="D931" s="148"/>
      <c r="E931" s="186" t="s">
        <v>154</v>
      </c>
      <c r="F931" s="187"/>
      <c r="G931" s="187"/>
      <c r="H931" s="187"/>
      <c r="I931" s="187"/>
      <c r="J931" s="187"/>
      <c r="K931" s="187"/>
      <c r="L931" s="188"/>
      <c r="M931" s="189"/>
      <c r="N931" s="190"/>
      <c r="O931" s="220"/>
      <c r="P931" s="221">
        <f>M931*O931</f>
        <v>0</v>
      </c>
      <c r="Q931" s="42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</row>
    <row r="932" spans="1:50" s="10" customFormat="1" ht="14.5" thickTop="1">
      <c r="A932"/>
      <c r="B932"/>
      <c r="C932"/>
      <c r="D932" s="155"/>
      <c r="E932" s="196"/>
      <c r="F932" s="197"/>
      <c r="G932" s="197"/>
      <c r="H932" s="197"/>
      <c r="I932" s="197"/>
      <c r="J932" s="197"/>
      <c r="K932" s="197"/>
      <c r="L932" s="198"/>
      <c r="M932" s="199"/>
      <c r="N932" s="200"/>
      <c r="O932" s="246"/>
      <c r="P932" s="214">
        <f t="shared" ref="P932:P956" si="47">M932*O932</f>
        <v>0</v>
      </c>
      <c r="Q932" s="421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</row>
    <row r="933" spans="1:50" s="10" customFormat="1" ht="14">
      <c r="A933"/>
      <c r="B933"/>
      <c r="C933"/>
      <c r="D933" s="155"/>
      <c r="E933" s="196"/>
      <c r="F933" s="197"/>
      <c r="G933" s="197"/>
      <c r="H933" s="197"/>
      <c r="I933" s="197"/>
      <c r="J933" s="197"/>
      <c r="K933" s="197"/>
      <c r="L933" s="198"/>
      <c r="M933" s="199"/>
      <c r="N933" s="200"/>
      <c r="O933" s="222"/>
      <c r="P933" s="214">
        <f t="shared" si="47"/>
        <v>0</v>
      </c>
      <c r="Q933" s="421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</row>
    <row r="934" spans="1:50" s="10" customFormat="1" ht="14">
      <c r="A934"/>
      <c r="B934"/>
      <c r="C934"/>
      <c r="D934" s="155"/>
      <c r="E934" s="217" t="s">
        <v>131</v>
      </c>
      <c r="F934" s="197"/>
      <c r="G934" s="197"/>
      <c r="H934" s="197"/>
      <c r="I934" s="197"/>
      <c r="J934" s="197"/>
      <c r="K934" s="197"/>
      <c r="L934" s="198"/>
      <c r="M934" s="199"/>
      <c r="N934" s="200"/>
      <c r="O934" s="222"/>
      <c r="P934" s="214">
        <f t="shared" si="47"/>
        <v>0</v>
      </c>
      <c r="Q934" s="421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</row>
    <row r="935" spans="1:50" s="10" customFormat="1" ht="14">
      <c r="A935"/>
      <c r="B935"/>
      <c r="C935"/>
      <c r="D935" s="155"/>
      <c r="E935" s="247" t="s">
        <v>465</v>
      </c>
      <c r="F935" s="197"/>
      <c r="G935" s="197"/>
      <c r="H935" s="197"/>
      <c r="I935" s="197"/>
      <c r="J935" s="197"/>
      <c r="K935" s="197"/>
      <c r="L935" s="198"/>
      <c r="M935" s="199"/>
      <c r="N935" s="200"/>
      <c r="O935" s="222"/>
      <c r="P935" s="214">
        <f t="shared" si="47"/>
        <v>0</v>
      </c>
      <c r="Q935" s="421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</row>
    <row r="936" spans="1:50" s="10" customFormat="1" ht="14">
      <c r="A936"/>
      <c r="B936"/>
      <c r="C936"/>
      <c r="D936" s="155"/>
      <c r="E936" s="218" t="s">
        <v>466</v>
      </c>
      <c r="F936" s="197"/>
      <c r="G936" s="197"/>
      <c r="H936" s="197"/>
      <c r="I936" s="197"/>
      <c r="J936" s="197"/>
      <c r="K936" s="197"/>
      <c r="L936" s="198"/>
      <c r="M936" s="199">
        <v>300</v>
      </c>
      <c r="N936" s="200" t="s">
        <v>7</v>
      </c>
      <c r="O936" s="222">
        <v>65</v>
      </c>
      <c r="P936" s="214">
        <f t="shared" si="47"/>
        <v>19500</v>
      </c>
      <c r="Q936" s="421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</row>
    <row r="937" spans="1:50" s="10" customFormat="1" ht="14">
      <c r="A937"/>
      <c r="B937"/>
      <c r="C937"/>
      <c r="D937" s="155"/>
      <c r="E937" s="218" t="s">
        <v>467</v>
      </c>
      <c r="F937" s="197"/>
      <c r="G937" s="197"/>
      <c r="H937" s="197"/>
      <c r="I937" s="197"/>
      <c r="J937" s="197"/>
      <c r="K937" s="197"/>
      <c r="L937" s="198"/>
      <c r="M937" s="199">
        <v>300</v>
      </c>
      <c r="N937" s="200" t="s">
        <v>7</v>
      </c>
      <c r="O937" s="222">
        <v>65</v>
      </c>
      <c r="P937" s="214">
        <f t="shared" si="47"/>
        <v>19500</v>
      </c>
      <c r="Q937" s="421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</row>
    <row r="938" spans="1:50" s="10" customFormat="1" ht="14">
      <c r="A938"/>
      <c r="B938"/>
      <c r="C938"/>
      <c r="D938" s="155"/>
      <c r="E938" s="218" t="s">
        <v>775</v>
      </c>
      <c r="F938" s="197"/>
      <c r="G938" s="197"/>
      <c r="H938" s="197"/>
      <c r="I938" s="197"/>
      <c r="J938" s="197"/>
      <c r="K938" s="197"/>
      <c r="L938" s="198"/>
      <c r="M938" s="199">
        <f>5*100</f>
        <v>500</v>
      </c>
      <c r="N938" s="200" t="s">
        <v>7</v>
      </c>
      <c r="O938" s="222">
        <v>45</v>
      </c>
      <c r="P938" s="214">
        <f t="shared" si="47"/>
        <v>22500</v>
      </c>
      <c r="Q938" s="421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</row>
    <row r="939" spans="1:50" s="10" customFormat="1" ht="14">
      <c r="A939"/>
      <c r="B939"/>
      <c r="C939"/>
      <c r="D939" s="155"/>
      <c r="E939" s="218" t="s">
        <v>468</v>
      </c>
      <c r="F939" s="197"/>
      <c r="G939" s="197"/>
      <c r="H939" s="197"/>
      <c r="I939" s="197"/>
      <c r="J939" s="197"/>
      <c r="K939" s="197"/>
      <c r="L939" s="206"/>
      <c r="M939" s="199">
        <v>12</v>
      </c>
      <c r="N939" s="200" t="s">
        <v>162</v>
      </c>
      <c r="O939" s="222">
        <v>6000</v>
      </c>
      <c r="P939" s="214">
        <f t="shared" si="47"/>
        <v>72000</v>
      </c>
      <c r="Q939" s="421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</row>
    <row r="940" spans="1:50" s="10" customFormat="1" ht="14">
      <c r="A940"/>
      <c r="B940"/>
      <c r="C940"/>
      <c r="D940" s="155"/>
      <c r="E940" s="218" t="s">
        <v>469</v>
      </c>
      <c r="F940" s="197"/>
      <c r="G940" s="197"/>
      <c r="H940" s="197"/>
      <c r="I940" s="197"/>
      <c r="J940" s="197"/>
      <c r="K940" s="197"/>
      <c r="L940" s="206"/>
      <c r="M940" s="199">
        <v>10</v>
      </c>
      <c r="N940" s="200" t="s">
        <v>162</v>
      </c>
      <c r="O940" s="222">
        <v>3500</v>
      </c>
      <c r="P940" s="214">
        <f t="shared" si="47"/>
        <v>35000</v>
      </c>
      <c r="Q940" s="421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</row>
    <row r="941" spans="1:50" s="10" customFormat="1" ht="14">
      <c r="A941"/>
      <c r="B941"/>
      <c r="C941"/>
      <c r="D941" s="155"/>
      <c r="E941" s="218" t="s">
        <v>623</v>
      </c>
      <c r="F941" s="197"/>
      <c r="G941" s="197"/>
      <c r="H941" s="197"/>
      <c r="I941" s="197"/>
      <c r="J941" s="197"/>
      <c r="K941" s="197"/>
      <c r="L941" s="206"/>
      <c r="M941" s="199">
        <v>1</v>
      </c>
      <c r="N941" s="200" t="s">
        <v>164</v>
      </c>
      <c r="O941" s="222">
        <v>30000</v>
      </c>
      <c r="P941" s="214">
        <f t="shared" si="47"/>
        <v>30000</v>
      </c>
      <c r="Q941" s="42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</row>
    <row r="942" spans="1:50" s="10" customFormat="1" ht="14">
      <c r="A942"/>
      <c r="B942"/>
      <c r="C942"/>
      <c r="D942" s="155"/>
      <c r="E942" s="218"/>
      <c r="F942" s="197"/>
      <c r="G942" s="197"/>
      <c r="H942" s="197"/>
      <c r="I942" s="197"/>
      <c r="J942" s="197"/>
      <c r="K942" s="197"/>
      <c r="L942" s="198"/>
      <c r="M942" s="206"/>
      <c r="N942" s="200"/>
      <c r="O942" s="222"/>
      <c r="P942" s="214">
        <f t="shared" si="47"/>
        <v>0</v>
      </c>
      <c r="Q942" s="421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</row>
    <row r="943" spans="1:50" s="10" customFormat="1" ht="14">
      <c r="A943"/>
      <c r="B943"/>
      <c r="C943"/>
      <c r="D943" s="155"/>
      <c r="E943" s="218"/>
      <c r="F943" s="197"/>
      <c r="G943" s="197"/>
      <c r="H943" s="197"/>
      <c r="I943" s="197"/>
      <c r="J943" s="197"/>
      <c r="K943" s="197"/>
      <c r="L943" s="198"/>
      <c r="M943" s="199"/>
      <c r="N943" s="200"/>
      <c r="O943" s="222"/>
      <c r="P943" s="214">
        <f t="shared" si="47"/>
        <v>0</v>
      </c>
      <c r="Q943" s="421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</row>
    <row r="944" spans="1:50" s="10" customFormat="1" ht="14">
      <c r="A944"/>
      <c r="B944"/>
      <c r="C944"/>
      <c r="D944" s="155"/>
      <c r="E944" s="247" t="s">
        <v>470</v>
      </c>
      <c r="F944" s="197"/>
      <c r="G944" s="197"/>
      <c r="H944" s="197"/>
      <c r="I944" s="197"/>
      <c r="J944" s="197"/>
      <c r="K944" s="197"/>
      <c r="L944" s="198"/>
      <c r="M944" s="199"/>
      <c r="N944" s="200"/>
      <c r="O944" s="222"/>
      <c r="P944" s="214">
        <f t="shared" si="47"/>
        <v>0</v>
      </c>
      <c r="Q944" s="421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</row>
    <row r="945" spans="1:50" s="10" customFormat="1" ht="14">
      <c r="A945"/>
      <c r="B945"/>
      <c r="C945"/>
      <c r="D945" s="155"/>
      <c r="E945" s="218" t="s">
        <v>471</v>
      </c>
      <c r="F945" s="197"/>
      <c r="G945" s="197"/>
      <c r="H945" s="197"/>
      <c r="I945" s="197"/>
      <c r="J945" s="197"/>
      <c r="K945" s="197"/>
      <c r="L945" s="198"/>
      <c r="M945" s="199">
        <v>46290</v>
      </c>
      <c r="N945" s="200" t="s">
        <v>5</v>
      </c>
      <c r="O945" s="222">
        <v>18</v>
      </c>
      <c r="P945" s="214">
        <f t="shared" si="47"/>
        <v>833220</v>
      </c>
      <c r="Q945" s="421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</row>
    <row r="946" spans="1:50" s="10" customFormat="1" ht="14">
      <c r="A946"/>
      <c r="B946"/>
      <c r="C946"/>
      <c r="D946" s="155"/>
      <c r="E946" s="218" t="s">
        <v>472</v>
      </c>
      <c r="F946" s="197"/>
      <c r="G946" s="197"/>
      <c r="H946" s="197" t="s">
        <v>831</v>
      </c>
      <c r="I946" s="197"/>
      <c r="J946" s="197"/>
      <c r="K946" s="197"/>
      <c r="L946" s="198"/>
      <c r="M946" s="199">
        <v>46290</v>
      </c>
      <c r="N946" s="200" t="s">
        <v>5</v>
      </c>
      <c r="O946" s="222">
        <v>12</v>
      </c>
      <c r="P946" s="214">
        <f t="shared" si="47"/>
        <v>555480</v>
      </c>
      <c r="Q946" s="421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</row>
    <row r="947" spans="1:50" s="10" customFormat="1" ht="14">
      <c r="A947"/>
      <c r="B947"/>
      <c r="C947"/>
      <c r="D947" s="155"/>
      <c r="E947" s="218" t="s">
        <v>473</v>
      </c>
      <c r="F947" s="197"/>
      <c r="G947" s="197"/>
      <c r="H947" s="197"/>
      <c r="I947" s="197"/>
      <c r="J947" s="197"/>
      <c r="K947" s="281"/>
      <c r="L947" s="198"/>
      <c r="M947" s="199">
        <v>46290</v>
      </c>
      <c r="N947" s="200" t="s">
        <v>5</v>
      </c>
      <c r="O947" s="257">
        <v>6</v>
      </c>
      <c r="P947" s="214">
        <f t="shared" si="47"/>
        <v>277740</v>
      </c>
      <c r="Q947" s="421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</row>
    <row r="948" spans="1:50" s="10" customFormat="1" ht="14">
      <c r="A948"/>
      <c r="B948"/>
      <c r="C948"/>
      <c r="D948" s="155"/>
      <c r="E948" s="218" t="s">
        <v>474</v>
      </c>
      <c r="F948" s="197"/>
      <c r="G948" s="197"/>
      <c r="H948" s="197"/>
      <c r="I948" s="197"/>
      <c r="J948" s="197"/>
      <c r="K948" s="197"/>
      <c r="L948" s="198"/>
      <c r="M948" s="199">
        <v>46290</v>
      </c>
      <c r="N948" s="200" t="s">
        <v>5</v>
      </c>
      <c r="O948" s="222">
        <v>3</v>
      </c>
      <c r="P948" s="214">
        <f t="shared" si="47"/>
        <v>138870</v>
      </c>
      <c r="Q948" s="421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</row>
    <row r="949" spans="1:50" s="10" customFormat="1" ht="14">
      <c r="A949"/>
      <c r="B949"/>
      <c r="C949"/>
      <c r="D949" s="155"/>
      <c r="E949" s="218" t="s">
        <v>475</v>
      </c>
      <c r="F949" s="197"/>
      <c r="G949" s="197"/>
      <c r="H949" s="197"/>
      <c r="I949" s="197"/>
      <c r="J949" s="197"/>
      <c r="K949" s="197"/>
      <c r="L949" s="198"/>
      <c r="M949" s="199">
        <v>46290</v>
      </c>
      <c r="N949" s="200" t="s">
        <v>5</v>
      </c>
      <c r="O949" s="222">
        <v>3</v>
      </c>
      <c r="P949" s="214">
        <f t="shared" si="47"/>
        <v>138870</v>
      </c>
      <c r="Q949" s="421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</row>
    <row r="950" spans="1:50" s="10" customFormat="1" ht="14">
      <c r="A950"/>
      <c r="B950"/>
      <c r="C950"/>
      <c r="D950" s="155"/>
      <c r="E950" s="218" t="s">
        <v>476</v>
      </c>
      <c r="F950" s="197"/>
      <c r="G950" s="197"/>
      <c r="H950" s="197"/>
      <c r="I950" s="197"/>
      <c r="J950" s="134"/>
      <c r="K950" s="197"/>
      <c r="L950" s="198"/>
      <c r="M950" s="199">
        <v>46290</v>
      </c>
      <c r="N950" s="200" t="s">
        <v>5</v>
      </c>
      <c r="O950" s="222">
        <v>2</v>
      </c>
      <c r="P950" s="214">
        <f t="shared" si="47"/>
        <v>92580</v>
      </c>
      <c r="Q950" s="421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</row>
    <row r="951" spans="1:50" s="10" customFormat="1" ht="14">
      <c r="A951"/>
      <c r="B951"/>
      <c r="C951"/>
      <c r="D951" s="155"/>
      <c r="E951" s="218" t="s">
        <v>686</v>
      </c>
      <c r="F951" s="197"/>
      <c r="G951" s="197"/>
      <c r="H951" s="197"/>
      <c r="I951" s="197"/>
      <c r="J951" s="134"/>
      <c r="K951" s="197"/>
      <c r="L951" s="198"/>
      <c r="M951" s="199"/>
      <c r="N951" s="200" t="s">
        <v>5</v>
      </c>
      <c r="O951" s="222">
        <v>1</v>
      </c>
      <c r="P951" s="214">
        <f t="shared" si="47"/>
        <v>0</v>
      </c>
      <c r="Q951" s="42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</row>
    <row r="952" spans="1:50" s="10" customFormat="1" ht="14">
      <c r="A952"/>
      <c r="B952"/>
      <c r="C952"/>
      <c r="D952" s="155"/>
      <c r="E952" s="218" t="s">
        <v>721</v>
      </c>
      <c r="F952" s="197"/>
      <c r="G952" s="197"/>
      <c r="H952" s="197"/>
      <c r="I952" s="197"/>
      <c r="J952" s="197"/>
      <c r="K952" s="197"/>
      <c r="L952" s="198"/>
      <c r="M952" s="199">
        <v>750</v>
      </c>
      <c r="N952" s="200" t="s">
        <v>722</v>
      </c>
      <c r="O952" s="222">
        <v>450</v>
      </c>
      <c r="P952" s="214">
        <f t="shared" si="47"/>
        <v>337500</v>
      </c>
      <c r="Q952" s="421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</row>
    <row r="953" spans="1:50" s="10" customFormat="1" ht="14">
      <c r="A953"/>
      <c r="B953"/>
      <c r="C953"/>
      <c r="D953" s="155"/>
      <c r="E953" s="218" t="s">
        <v>833</v>
      </c>
      <c r="F953" s="197"/>
      <c r="G953" s="197"/>
      <c r="H953" s="197"/>
      <c r="I953" s="197"/>
      <c r="J953" s="197"/>
      <c r="K953" s="197"/>
      <c r="L953" s="198"/>
      <c r="M953" s="199">
        <v>1</v>
      </c>
      <c r="N953" s="200" t="s">
        <v>164</v>
      </c>
      <c r="O953" s="222">
        <v>50000</v>
      </c>
      <c r="P953" s="214">
        <f t="shared" si="47"/>
        <v>50000</v>
      </c>
      <c r="Q953" s="421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</row>
    <row r="954" spans="1:50" s="10" customFormat="1" ht="14">
      <c r="A954"/>
      <c r="B954"/>
      <c r="C954"/>
      <c r="D954" s="155"/>
      <c r="E954" s="218" t="s">
        <v>832</v>
      </c>
      <c r="F954" s="197"/>
      <c r="G954" s="197"/>
      <c r="H954" s="197"/>
      <c r="I954" s="197"/>
      <c r="J954" s="197"/>
      <c r="K954" s="197"/>
      <c r="L954" s="198"/>
      <c r="M954" s="199">
        <v>150</v>
      </c>
      <c r="N954" s="200" t="s">
        <v>722</v>
      </c>
      <c r="O954" s="222">
        <v>450</v>
      </c>
      <c r="P954" s="214">
        <f t="shared" si="47"/>
        <v>67500</v>
      </c>
      <c r="Q954" s="421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</row>
    <row r="955" spans="1:50" s="10" customFormat="1" ht="14">
      <c r="A955"/>
      <c r="B955"/>
      <c r="C955"/>
      <c r="D955" s="155"/>
      <c r="E955" s="218" t="s">
        <v>723</v>
      </c>
      <c r="F955" s="197"/>
      <c r="G955" s="197"/>
      <c r="H955" s="197"/>
      <c r="I955" s="197"/>
      <c r="J955" s="197"/>
      <c r="K955" s="197"/>
      <c r="L955" s="198"/>
      <c r="M955" s="199">
        <v>1</v>
      </c>
      <c r="N955" s="200" t="s">
        <v>164</v>
      </c>
      <c r="O955" s="222">
        <v>30000</v>
      </c>
      <c r="P955" s="214">
        <f t="shared" si="47"/>
        <v>30000</v>
      </c>
      <c r="Q955" s="421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</row>
    <row r="956" spans="1:50" s="10" customFormat="1" ht="14">
      <c r="A956"/>
      <c r="B956"/>
      <c r="C956"/>
      <c r="D956" s="155"/>
      <c r="E956" s="196"/>
      <c r="F956" s="197"/>
      <c r="G956" s="197"/>
      <c r="H956" s="197"/>
      <c r="I956" s="197"/>
      <c r="J956" s="197"/>
      <c r="K956" s="197"/>
      <c r="L956" s="198"/>
      <c r="M956" s="199"/>
      <c r="N956" s="200"/>
      <c r="O956" s="246"/>
      <c r="P956" s="214">
        <f t="shared" si="47"/>
        <v>0</v>
      </c>
      <c r="Q956" s="421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</row>
    <row r="957" spans="1:50" s="10" customFormat="1" ht="14">
      <c r="A957"/>
      <c r="B957"/>
      <c r="C957"/>
      <c r="D957" s="155"/>
      <c r="E957" s="179"/>
      <c r="F957" s="180"/>
      <c r="G957" s="180"/>
      <c r="H957" s="180"/>
      <c r="I957" s="180"/>
      <c r="J957" s="180"/>
      <c r="K957" s="180"/>
      <c r="L957" s="181"/>
      <c r="M957" s="182"/>
      <c r="N957" s="183"/>
      <c r="O957" s="184"/>
      <c r="P957" s="185"/>
      <c r="Q957" s="185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</row>
    <row r="958" spans="1:50" s="10" customFormat="1" ht="14">
      <c r="A958"/>
      <c r="B958"/>
      <c r="C958"/>
      <c r="D958" s="155"/>
      <c r="E958" s="196"/>
      <c r="F958" s="197"/>
      <c r="G958" s="197"/>
      <c r="H958" s="197"/>
      <c r="I958" s="197"/>
      <c r="J958" s="197"/>
      <c r="K958" s="197"/>
      <c r="L958" s="198"/>
      <c r="M958" s="199"/>
      <c r="N958" s="200"/>
      <c r="O958" s="246"/>
      <c r="P958" s="214">
        <f>SUM(P930:P957)</f>
        <v>2720260</v>
      </c>
      <c r="Q958" s="421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</row>
    <row r="959" spans="1:50" s="10" customFormat="1" ht="14">
      <c r="A959"/>
      <c r="B959"/>
      <c r="C959"/>
      <c r="D959" s="155"/>
      <c r="E959" s="154"/>
      <c r="F959" s="154"/>
      <c r="G959" s="154"/>
      <c r="H959" s="154"/>
      <c r="I959" s="154"/>
      <c r="J959" s="154"/>
      <c r="K959" s="154"/>
      <c r="L959" s="154"/>
      <c r="M959" s="156"/>
      <c r="N959" s="157"/>
      <c r="O959" s="158"/>
      <c r="P959" s="159"/>
      <c r="Q959" s="160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</row>
    <row r="960" spans="1:50" s="10" customFormat="1" ht="14">
      <c r="A960"/>
      <c r="B960"/>
      <c r="C960"/>
      <c r="D960" s="155"/>
      <c r="E960" s="169"/>
      <c r="F960" s="163"/>
      <c r="G960" s="163"/>
      <c r="H960" s="163"/>
      <c r="I960" s="163"/>
      <c r="J960" s="163"/>
      <c r="K960" s="163"/>
      <c r="L960" s="163"/>
      <c r="M960" s="164"/>
      <c r="N960" s="165"/>
      <c r="O960" s="166"/>
      <c r="P960" s="167"/>
      <c r="Q960" s="167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</row>
    <row r="961" spans="1:50" s="10" customFormat="1" ht="14">
      <c r="A961"/>
      <c r="B961"/>
      <c r="C961"/>
      <c r="D961" s="155"/>
      <c r="E961" s="168" t="str">
        <f>RECAP!F61</f>
        <v>SECURITY &amp; SURVEILLANCE</v>
      </c>
      <c r="F961" s="163"/>
      <c r="G961" s="163"/>
      <c r="H961" s="163"/>
      <c r="I961" s="163"/>
      <c r="J961" s="163"/>
      <c r="K961" s="163"/>
      <c r="L961" s="163"/>
      <c r="M961" s="164"/>
      <c r="N961" s="165"/>
      <c r="O961" s="166"/>
      <c r="P961" s="167"/>
      <c r="Q961" s="167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</row>
    <row r="962" spans="1:50" s="10" customFormat="1" ht="14">
      <c r="A962"/>
      <c r="B962"/>
      <c r="C962"/>
      <c r="D962" s="155"/>
      <c r="E962" s="154"/>
      <c r="F962" s="154"/>
      <c r="G962" s="154"/>
      <c r="H962" s="154"/>
      <c r="I962" s="154"/>
      <c r="J962" s="154"/>
      <c r="K962" s="154"/>
      <c r="L962" s="154"/>
      <c r="M962" s="156"/>
      <c r="N962" s="157"/>
      <c r="O962" s="158"/>
      <c r="P962" s="159"/>
      <c r="Q962" s="160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</row>
    <row r="963" spans="1:50" s="10" customFormat="1" ht="14">
      <c r="A963"/>
      <c r="B963"/>
      <c r="C963"/>
      <c r="D963" s="170"/>
      <c r="E963" s="171"/>
      <c r="F963" s="172"/>
      <c r="G963" s="172" t="s">
        <v>13</v>
      </c>
      <c r="H963" s="172"/>
      <c r="I963" s="172"/>
      <c r="J963" s="172"/>
      <c r="K963" s="172"/>
      <c r="L963" s="173"/>
      <c r="M963" s="174" t="s">
        <v>23</v>
      </c>
      <c r="N963" s="175" t="s">
        <v>151</v>
      </c>
      <c r="O963" s="176" t="s">
        <v>152</v>
      </c>
      <c r="P963" s="177" t="s">
        <v>153</v>
      </c>
      <c r="Q963" s="416" t="s">
        <v>17</v>
      </c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</row>
    <row r="964" spans="1:50" s="10" customFormat="1" ht="14">
      <c r="A964"/>
      <c r="B964"/>
      <c r="C964"/>
      <c r="D964" s="155"/>
      <c r="E964" s="179"/>
      <c r="F964" s="180"/>
      <c r="G964" s="180"/>
      <c r="H964" s="180"/>
      <c r="I964" s="180"/>
      <c r="J964" s="180"/>
      <c r="K964" s="180"/>
      <c r="L964" s="181"/>
      <c r="M964" s="182"/>
      <c r="N964" s="183"/>
      <c r="O964" s="184"/>
      <c r="P964" s="185"/>
      <c r="Q964" s="417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</row>
    <row r="965" spans="1:50" s="10" customFormat="1" ht="14.5" thickBot="1">
      <c r="A965"/>
      <c r="B965"/>
      <c r="C965"/>
      <c r="D965" s="148"/>
      <c r="E965" s="186" t="s">
        <v>154</v>
      </c>
      <c r="F965" s="187"/>
      <c r="G965" s="187"/>
      <c r="H965" s="187"/>
      <c r="I965" s="187"/>
      <c r="J965" s="187"/>
      <c r="K965" s="187"/>
      <c r="L965" s="188"/>
      <c r="M965" s="189"/>
      <c r="N965" s="190"/>
      <c r="O965" s="220"/>
      <c r="P965" s="221">
        <f>M965*O965</f>
        <v>0</v>
      </c>
      <c r="Q965" s="421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</row>
    <row r="966" spans="1:50" s="10" customFormat="1" ht="14.5" thickTop="1">
      <c r="A966"/>
      <c r="B966"/>
      <c r="C966"/>
      <c r="D966" s="155"/>
      <c r="E966" s="191"/>
      <c r="F966" s="192"/>
      <c r="G966" s="192"/>
      <c r="H966" s="192"/>
      <c r="I966" s="192"/>
      <c r="J966" s="192"/>
      <c r="K966" s="192"/>
      <c r="L966" s="193"/>
      <c r="M966" s="194"/>
      <c r="N966" s="195"/>
      <c r="O966" s="225"/>
      <c r="P966" s="226">
        <f>M966*O966</f>
        <v>0</v>
      </c>
      <c r="Q966" s="421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</row>
    <row r="967" spans="1:50" s="10" customFormat="1" ht="14">
      <c r="A967"/>
      <c r="B967"/>
      <c r="C967"/>
      <c r="D967" s="155"/>
      <c r="E967" s="196" t="s">
        <v>479</v>
      </c>
      <c r="F967" s="197"/>
      <c r="G967" s="197"/>
      <c r="H967" s="197"/>
      <c r="I967" s="197"/>
      <c r="J967" s="197"/>
      <c r="K967" s="197"/>
      <c r="L967" s="198"/>
      <c r="M967" s="199"/>
      <c r="N967" s="200"/>
      <c r="O967" s="246"/>
      <c r="P967" s="214">
        <f>M967*O967</f>
        <v>0</v>
      </c>
      <c r="Q967" s="421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</row>
    <row r="968" spans="1:50" s="10" customFormat="1" ht="14">
      <c r="A968"/>
      <c r="B968"/>
      <c r="C968"/>
      <c r="D968" s="155"/>
      <c r="E968" s="203"/>
      <c r="F968" s="197" t="s">
        <v>449</v>
      </c>
      <c r="G968" s="197"/>
      <c r="H968" s="197"/>
      <c r="I968" s="197"/>
      <c r="J968" s="197"/>
      <c r="K968" s="197"/>
      <c r="L968" s="198"/>
      <c r="M968" s="199">
        <v>35</v>
      </c>
      <c r="N968" s="200" t="s">
        <v>162</v>
      </c>
      <c r="O968" s="246">
        <v>5000</v>
      </c>
      <c r="P968" s="214">
        <f t="shared" ref="P968:P976" si="48">M968*O968</f>
        <v>175000</v>
      </c>
      <c r="Q968" s="421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</row>
    <row r="969" spans="1:50" s="10" customFormat="1" ht="14">
      <c r="A969"/>
      <c r="B969"/>
      <c r="C969"/>
      <c r="D969" s="155"/>
      <c r="E969" s="218"/>
      <c r="F969" s="197" t="s">
        <v>692</v>
      </c>
      <c r="G969" s="197"/>
      <c r="H969" s="197"/>
      <c r="I969" s="197"/>
      <c r="J969" s="197"/>
      <c r="K969" s="197"/>
      <c r="L969" s="198"/>
      <c r="M969" s="199">
        <v>25</v>
      </c>
      <c r="N969" s="200" t="s">
        <v>162</v>
      </c>
      <c r="O969" s="246">
        <v>4500</v>
      </c>
      <c r="P969" s="214">
        <f t="shared" si="48"/>
        <v>112500</v>
      </c>
      <c r="Q969" s="421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</row>
    <row r="970" spans="1:50" s="10" customFormat="1" ht="14">
      <c r="A970"/>
      <c r="B970"/>
      <c r="C970"/>
      <c r="D970" s="155"/>
      <c r="E970" s="218"/>
      <c r="F970" s="197" t="s">
        <v>693</v>
      </c>
      <c r="G970" s="197"/>
      <c r="H970" s="197"/>
      <c r="I970" s="197"/>
      <c r="J970" s="197"/>
      <c r="K970" s="197"/>
      <c r="L970" s="198"/>
      <c r="M970" s="199">
        <v>18</v>
      </c>
      <c r="N970" s="200" t="s">
        <v>162</v>
      </c>
      <c r="O970" s="246">
        <v>1800</v>
      </c>
      <c r="P970" s="214">
        <f t="shared" si="48"/>
        <v>32400</v>
      </c>
      <c r="Q970" s="421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</row>
    <row r="971" spans="1:50" s="10" customFormat="1" ht="14">
      <c r="A971"/>
      <c r="B971"/>
      <c r="C971"/>
      <c r="D971" s="155"/>
      <c r="E971" s="203"/>
      <c r="F971" s="197" t="s">
        <v>739</v>
      </c>
      <c r="G971" s="197"/>
      <c r="H971" s="197"/>
      <c r="I971" s="197"/>
      <c r="J971" s="197"/>
      <c r="K971" s="197"/>
      <c r="L971" s="198"/>
      <c r="M971" s="199">
        <v>4</v>
      </c>
      <c r="N971" s="200" t="s">
        <v>162</v>
      </c>
      <c r="O971" s="246">
        <v>8500</v>
      </c>
      <c r="P971" s="214">
        <f t="shared" si="48"/>
        <v>34000</v>
      </c>
      <c r="Q971" s="42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</row>
    <row r="972" spans="1:50" s="10" customFormat="1" ht="14">
      <c r="A972"/>
      <c r="B972"/>
      <c r="C972"/>
      <c r="D972" s="155"/>
      <c r="E972" s="203"/>
      <c r="F972" s="197" t="s">
        <v>695</v>
      </c>
      <c r="G972" s="197"/>
      <c r="H972" s="197"/>
      <c r="I972" s="197"/>
      <c r="J972" s="197"/>
      <c r="K972" s="197"/>
      <c r="L972" s="198"/>
      <c r="M972" s="199">
        <v>1</v>
      </c>
      <c r="N972" s="200" t="s">
        <v>164</v>
      </c>
      <c r="O972" s="246">
        <v>45000</v>
      </c>
      <c r="P972" s="214">
        <f t="shared" si="48"/>
        <v>45000</v>
      </c>
      <c r="Q972" s="421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</row>
    <row r="973" spans="1:50" s="10" customFormat="1" ht="14">
      <c r="A973"/>
      <c r="B973"/>
      <c r="C973"/>
      <c r="D973" s="155"/>
      <c r="E973" s="203"/>
      <c r="F973" s="197" t="s">
        <v>740</v>
      </c>
      <c r="G973" s="197"/>
      <c r="H973" s="197"/>
      <c r="I973" s="197"/>
      <c r="J973" s="197"/>
      <c r="K973" s="197"/>
      <c r="L973" s="198"/>
      <c r="M973" s="199">
        <v>4</v>
      </c>
      <c r="N973" s="200" t="s">
        <v>162</v>
      </c>
      <c r="O973" s="246">
        <v>7500</v>
      </c>
      <c r="P973" s="214">
        <f t="shared" si="48"/>
        <v>30000</v>
      </c>
      <c r="Q973" s="421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</row>
    <row r="974" spans="1:50" s="10" customFormat="1" ht="14">
      <c r="A974"/>
      <c r="B974"/>
      <c r="C974"/>
      <c r="D974" s="155"/>
      <c r="E974" s="203" t="s">
        <v>741</v>
      </c>
      <c r="F974" s="197"/>
      <c r="G974" s="197"/>
      <c r="H974" s="197"/>
      <c r="I974" s="197"/>
      <c r="J974" s="197"/>
      <c r="K974" s="197"/>
      <c r="L974" s="198"/>
      <c r="M974" s="199">
        <v>46290</v>
      </c>
      <c r="N974" s="200" t="s">
        <v>5</v>
      </c>
      <c r="O974" s="246">
        <v>1.25</v>
      </c>
      <c r="P974" s="214">
        <f t="shared" si="48"/>
        <v>57862.5</v>
      </c>
      <c r="Q974" s="421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</row>
    <row r="975" spans="1:50" s="10" customFormat="1" ht="14">
      <c r="A975"/>
      <c r="B975"/>
      <c r="C975"/>
      <c r="D975" s="155"/>
      <c r="E975" s="196" t="s">
        <v>742</v>
      </c>
      <c r="F975" s="197"/>
      <c r="G975" s="197"/>
      <c r="H975" s="197"/>
      <c r="I975" s="197"/>
      <c r="J975" s="197"/>
      <c r="K975" s="197"/>
      <c r="L975" s="198"/>
      <c r="M975" s="199">
        <v>1</v>
      </c>
      <c r="N975" s="200" t="s">
        <v>164</v>
      </c>
      <c r="O975" s="246">
        <v>85000</v>
      </c>
      <c r="P975" s="214">
        <f t="shared" si="48"/>
        <v>85000</v>
      </c>
      <c r="Q975" s="421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</row>
    <row r="976" spans="1:50" s="10" customFormat="1" ht="14">
      <c r="A976"/>
      <c r="B976"/>
      <c r="C976"/>
      <c r="D976" s="155"/>
      <c r="E976" s="196"/>
      <c r="F976" s="197"/>
      <c r="G976" s="197"/>
      <c r="H976" s="197"/>
      <c r="I976" s="197"/>
      <c r="J976" s="197"/>
      <c r="K976" s="197"/>
      <c r="L976" s="198"/>
      <c r="M976" s="199"/>
      <c r="N976" s="200"/>
      <c r="O976" s="246"/>
      <c r="P976" s="214">
        <f t="shared" si="48"/>
        <v>0</v>
      </c>
      <c r="Q976" s="421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</row>
    <row r="977" spans="1:50" s="10" customFormat="1" ht="14">
      <c r="A977"/>
      <c r="B977"/>
      <c r="C977"/>
      <c r="D977" s="155"/>
      <c r="E977" s="179"/>
      <c r="F977" s="180"/>
      <c r="G977" s="180"/>
      <c r="H977" s="180"/>
      <c r="I977" s="180"/>
      <c r="J977" s="180"/>
      <c r="K977" s="180"/>
      <c r="L977" s="181"/>
      <c r="M977" s="182"/>
      <c r="N977" s="183"/>
      <c r="O977" s="184"/>
      <c r="P977" s="185"/>
      <c r="Q977" s="185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</row>
    <row r="978" spans="1:50" s="10" customFormat="1" ht="14">
      <c r="A978"/>
      <c r="B978"/>
      <c r="C978"/>
      <c r="D978" s="155"/>
      <c r="E978" s="196"/>
      <c r="F978" s="197"/>
      <c r="G978" s="197"/>
      <c r="H978" s="197"/>
      <c r="I978" s="197"/>
      <c r="J978" s="197"/>
      <c r="K978" s="197"/>
      <c r="L978" s="198"/>
      <c r="M978" s="199"/>
      <c r="N978" s="200"/>
      <c r="O978" s="246"/>
      <c r="P978" s="214">
        <f>SUM(P964:P977)</f>
        <v>571762.5</v>
      </c>
      <c r="Q978" s="421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</row>
    <row r="979" spans="1:50" s="10" customFormat="1" ht="14">
      <c r="A979"/>
      <c r="B979"/>
      <c r="C979"/>
      <c r="D979" s="155"/>
      <c r="E979" s="154"/>
      <c r="F979" s="154"/>
      <c r="G979" s="154"/>
      <c r="H979" s="154"/>
      <c r="I979" s="154"/>
      <c r="J979" s="154"/>
      <c r="K979" s="154"/>
      <c r="L979" s="154"/>
      <c r="M979" s="156"/>
      <c r="N979" s="157"/>
      <c r="O979" s="158"/>
      <c r="P979" s="159"/>
      <c r="Q979" s="160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</row>
    <row r="980" spans="1:50" s="10" customFormat="1" ht="14">
      <c r="A980"/>
      <c r="B980"/>
      <c r="C980"/>
      <c r="D980" s="155"/>
      <c r="E980" s="169"/>
      <c r="F980" s="163"/>
      <c r="G980" s="163"/>
      <c r="H980" s="163"/>
      <c r="I980" s="163"/>
      <c r="J980" s="163"/>
      <c r="K980" s="163"/>
      <c r="L980" s="163"/>
      <c r="M980" s="164"/>
      <c r="N980" s="165"/>
      <c r="O980" s="166"/>
      <c r="P980" s="167"/>
      <c r="Q980" s="167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</row>
    <row r="981" spans="1:50" s="10" customFormat="1" ht="14">
      <c r="A981"/>
      <c r="B981"/>
      <c r="C981"/>
      <c r="D981" s="155"/>
      <c r="E981" s="168" t="str">
        <f>RECAP!F62</f>
        <v>DATA CABLING</v>
      </c>
      <c r="F981" s="163"/>
      <c r="G981" s="163"/>
      <c r="H981" s="163"/>
      <c r="I981" s="163"/>
      <c r="J981" s="163"/>
      <c r="K981" s="163"/>
      <c r="L981" s="163"/>
      <c r="M981" s="164"/>
      <c r="N981" s="165"/>
      <c r="O981" s="166"/>
      <c r="P981" s="167"/>
      <c r="Q981" s="167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</row>
    <row r="982" spans="1:50" s="10" customFormat="1" ht="14">
      <c r="A982"/>
      <c r="B982"/>
      <c r="C982"/>
      <c r="D982" s="155"/>
      <c r="E982" s="154"/>
      <c r="F982" s="154"/>
      <c r="G982" s="154"/>
      <c r="H982" s="154"/>
      <c r="I982" s="154"/>
      <c r="J982" s="154"/>
      <c r="K982" s="154"/>
      <c r="L982" s="154"/>
      <c r="M982" s="156"/>
      <c r="N982" s="157"/>
      <c r="O982" s="158"/>
      <c r="P982" s="159"/>
      <c r="Q982" s="178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</row>
    <row r="983" spans="1:50" s="10" customFormat="1" ht="14">
      <c r="A983"/>
      <c r="B983"/>
      <c r="C983"/>
      <c r="D983" s="170"/>
      <c r="E983" s="171"/>
      <c r="F983" s="172"/>
      <c r="G983" s="172" t="s">
        <v>13</v>
      </c>
      <c r="H983" s="172"/>
      <c r="I983" s="172"/>
      <c r="J983" s="172"/>
      <c r="K983" s="172"/>
      <c r="L983" s="173"/>
      <c r="M983" s="174" t="s">
        <v>23</v>
      </c>
      <c r="N983" s="175" t="s">
        <v>151</v>
      </c>
      <c r="O983" s="176" t="s">
        <v>152</v>
      </c>
      <c r="P983" s="177" t="s">
        <v>153</v>
      </c>
      <c r="Q983" s="416" t="s">
        <v>17</v>
      </c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</row>
    <row r="984" spans="1:50" s="10" customFormat="1" ht="14">
      <c r="A984"/>
      <c r="B984"/>
      <c r="C984"/>
      <c r="D984" s="155"/>
      <c r="E984" s="179"/>
      <c r="F984" s="180"/>
      <c r="G984" s="180"/>
      <c r="H984" s="180"/>
      <c r="I984" s="180"/>
      <c r="J984" s="180"/>
      <c r="K984" s="180"/>
      <c r="L984" s="181"/>
      <c r="M984" s="182"/>
      <c r="N984" s="183"/>
      <c r="O984" s="184"/>
      <c r="P984" s="185"/>
      <c r="Q984" s="417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</row>
    <row r="985" spans="1:50" s="10" customFormat="1" ht="14.5" thickBot="1">
      <c r="A985"/>
      <c r="B985"/>
      <c r="C985"/>
      <c r="D985" s="148"/>
      <c r="E985" s="186" t="s">
        <v>154</v>
      </c>
      <c r="F985" s="187"/>
      <c r="G985" s="187"/>
      <c r="H985" s="187"/>
      <c r="I985" s="187"/>
      <c r="J985" s="187"/>
      <c r="K985" s="187"/>
      <c r="L985" s="188"/>
      <c r="M985" s="189"/>
      <c r="N985" s="190"/>
      <c r="O985" s="220"/>
      <c r="P985" s="221">
        <f>M985*O985</f>
        <v>0</v>
      </c>
      <c r="Q985" s="421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</row>
    <row r="986" spans="1:50" s="10" customFormat="1" ht="14.5" thickTop="1">
      <c r="A986"/>
      <c r="B986"/>
      <c r="C986"/>
      <c r="D986" s="155"/>
      <c r="E986" s="191"/>
      <c r="F986" s="192"/>
      <c r="G986" s="192"/>
      <c r="H986" s="192"/>
      <c r="I986" s="192"/>
      <c r="J986" s="192"/>
      <c r="K986" s="192"/>
      <c r="L986" s="193"/>
      <c r="M986" s="194"/>
      <c r="N986" s="195"/>
      <c r="O986" s="225"/>
      <c r="P986" s="226">
        <f>M986*O986</f>
        <v>0</v>
      </c>
      <c r="Q986" s="421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</row>
    <row r="987" spans="1:50" s="10" customFormat="1" ht="14">
      <c r="A987"/>
      <c r="B987"/>
      <c r="C987"/>
      <c r="D987" s="155"/>
      <c r="E987" s="196"/>
      <c r="F987" s="197"/>
      <c r="G987" s="197"/>
      <c r="H987" s="197"/>
      <c r="I987" s="197"/>
      <c r="J987" s="197"/>
      <c r="K987" s="197"/>
      <c r="L987" s="198"/>
      <c r="M987" s="199"/>
      <c r="N987" s="200"/>
      <c r="O987" s="246"/>
      <c r="P987" s="214">
        <f>M987*O987</f>
        <v>0</v>
      </c>
      <c r="Q987" s="421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</row>
    <row r="988" spans="1:50" s="10" customFormat="1" ht="14">
      <c r="A988"/>
      <c r="B988"/>
      <c r="C988"/>
      <c r="D988" s="155"/>
      <c r="E988" s="203" t="s">
        <v>737</v>
      </c>
      <c r="F988" s="197"/>
      <c r="G988" s="197" t="s">
        <v>738</v>
      </c>
      <c r="H988" s="197"/>
      <c r="I988" s="197"/>
      <c r="J988" s="197"/>
      <c r="K988" s="197"/>
      <c r="L988" s="198"/>
      <c r="M988" s="199">
        <v>46290</v>
      </c>
      <c r="N988" s="200" t="s">
        <v>5</v>
      </c>
      <c r="O988" s="246">
        <v>5.25</v>
      </c>
      <c r="P988" s="214">
        <f t="shared" ref="P988:P992" si="49">M988*O988</f>
        <v>243022.5</v>
      </c>
      <c r="Q988" s="421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</row>
    <row r="989" spans="1:50" s="10" customFormat="1" ht="14">
      <c r="A989"/>
      <c r="B989"/>
      <c r="C989"/>
      <c r="D989" s="155"/>
      <c r="E989" s="203" t="s">
        <v>786</v>
      </c>
      <c r="F989" s="197"/>
      <c r="G989" s="197"/>
      <c r="H989" s="197"/>
      <c r="I989" s="197"/>
      <c r="J989" s="197"/>
      <c r="K989" s="197"/>
      <c r="L989" s="198"/>
      <c r="M989" s="199">
        <v>1500</v>
      </c>
      <c r="N989" s="200" t="s">
        <v>7</v>
      </c>
      <c r="O989" s="246">
        <v>75</v>
      </c>
      <c r="P989" s="214">
        <f t="shared" si="49"/>
        <v>112500</v>
      </c>
      <c r="Q989" s="421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</row>
    <row r="990" spans="1:50" s="10" customFormat="1" ht="14">
      <c r="A990"/>
      <c r="B990"/>
      <c r="C990"/>
      <c r="D990" s="155"/>
      <c r="E990" s="203"/>
      <c r="F990" s="197"/>
      <c r="G990" s="197"/>
      <c r="H990" s="197"/>
      <c r="I990" s="197"/>
      <c r="J990" s="197"/>
      <c r="K990" s="197"/>
      <c r="L990" s="198"/>
      <c r="M990" s="199"/>
      <c r="N990" s="200"/>
      <c r="O990" s="246"/>
      <c r="P990" s="214">
        <f t="shared" si="49"/>
        <v>0</v>
      </c>
      <c r="Q990" s="421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</row>
    <row r="991" spans="1:50" s="10" customFormat="1" ht="14">
      <c r="A991"/>
      <c r="B991"/>
      <c r="C991"/>
      <c r="D991" s="155"/>
      <c r="E991" s="203"/>
      <c r="F991" s="197"/>
      <c r="G991" s="197"/>
      <c r="H991" s="197"/>
      <c r="I991" s="197"/>
      <c r="J991" s="197"/>
      <c r="K991" s="197"/>
      <c r="L991" s="198"/>
      <c r="M991" s="199"/>
      <c r="N991" s="200"/>
      <c r="O991" s="246"/>
      <c r="P991" s="214">
        <f t="shared" si="49"/>
        <v>0</v>
      </c>
      <c r="Q991" s="42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</row>
    <row r="992" spans="1:50" s="10" customFormat="1" ht="14">
      <c r="A992"/>
      <c r="B992"/>
      <c r="C992"/>
      <c r="D992" s="155"/>
      <c r="E992" s="196"/>
      <c r="F992" s="197"/>
      <c r="G992" s="197"/>
      <c r="H992" s="197"/>
      <c r="I992" s="197"/>
      <c r="J992" s="197"/>
      <c r="K992" s="197"/>
      <c r="L992" s="198"/>
      <c r="M992" s="199"/>
      <c r="N992" s="200"/>
      <c r="O992" s="246"/>
      <c r="P992" s="214">
        <f t="shared" si="49"/>
        <v>0</v>
      </c>
      <c r="Q992" s="421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</row>
    <row r="993" spans="1:50" s="10" customFormat="1" ht="14">
      <c r="A993"/>
      <c r="B993"/>
      <c r="C993"/>
      <c r="D993" s="155"/>
      <c r="E993" s="179"/>
      <c r="F993" s="180"/>
      <c r="G993" s="180"/>
      <c r="H993" s="180"/>
      <c r="I993" s="180"/>
      <c r="J993" s="180"/>
      <c r="K993" s="180"/>
      <c r="L993" s="181"/>
      <c r="M993" s="182"/>
      <c r="N993" s="183"/>
      <c r="O993" s="184"/>
      <c r="P993" s="185"/>
      <c r="Q993" s="185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</row>
    <row r="994" spans="1:50" s="10" customFormat="1" ht="14">
      <c r="A994"/>
      <c r="B994"/>
      <c r="C994"/>
      <c r="D994" s="155"/>
      <c r="E994" s="196"/>
      <c r="F994" s="197"/>
      <c r="G994" s="197"/>
      <c r="H994" s="197"/>
      <c r="I994" s="197"/>
      <c r="J994" s="197"/>
      <c r="K994" s="197"/>
      <c r="L994" s="198"/>
      <c r="M994" s="199"/>
      <c r="N994" s="200"/>
      <c r="O994" s="246"/>
      <c r="P994" s="214">
        <f>SUM(P984:P993)</f>
        <v>355522.5</v>
      </c>
      <c r="Q994" s="421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</row>
    <row r="995" spans="1:50" s="10" customFormat="1" ht="14">
      <c r="A995"/>
      <c r="B995"/>
      <c r="C995"/>
      <c r="D995" s="155"/>
      <c r="E995" s="154"/>
      <c r="F995" s="154"/>
      <c r="G995" s="154"/>
      <c r="H995" s="154"/>
      <c r="I995" s="154"/>
      <c r="J995" s="154"/>
      <c r="K995" s="154"/>
      <c r="L995" s="154"/>
      <c r="M995" s="156"/>
      <c r="N995" s="157"/>
      <c r="O995" s="158"/>
      <c r="P995" s="159"/>
      <c r="Q995" s="134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</row>
    <row r="996" spans="1:50" s="10" customFormat="1" ht="14">
      <c r="A996"/>
      <c r="B996"/>
      <c r="C996"/>
      <c r="D996" s="155"/>
      <c r="E996" s="154"/>
      <c r="F996" s="154"/>
      <c r="G996" s="154"/>
      <c r="H996" s="154"/>
      <c r="I996" s="154"/>
      <c r="J996" s="154"/>
      <c r="K996" s="154"/>
      <c r="L996" s="154"/>
      <c r="M996" s="156"/>
      <c r="N996" s="157"/>
      <c r="O996" s="158"/>
      <c r="P996" s="159"/>
      <c r="Q996" s="134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</row>
    <row r="997" spans="1:50" s="10" customFormat="1">
      <c r="A997"/>
      <c r="B997"/>
      <c r="C997"/>
      <c r="D997" s="133"/>
      <c r="E997" s="134"/>
      <c r="F997" s="134"/>
      <c r="G997" s="134"/>
      <c r="H997" s="134"/>
      <c r="I997" s="134"/>
      <c r="J997" s="134"/>
      <c r="K997" s="134"/>
      <c r="L997" s="134"/>
      <c r="M997" s="132"/>
      <c r="N997" s="134"/>
      <c r="O997" s="134"/>
      <c r="P997" s="134"/>
      <c r="Q997" s="134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</row>
    <row r="998" spans="1:50" s="10" customFormat="1">
      <c r="A998"/>
      <c r="B998"/>
      <c r="C998"/>
      <c r="D998" s="133"/>
      <c r="E998" s="134"/>
      <c r="F998" s="134"/>
      <c r="G998" s="134"/>
      <c r="H998" s="134"/>
      <c r="I998" s="134"/>
      <c r="J998" s="134"/>
      <c r="K998" s="134"/>
      <c r="L998" s="134"/>
      <c r="M998" s="132"/>
      <c r="N998" s="134"/>
      <c r="O998" s="134"/>
      <c r="P998" s="134"/>
      <c r="Q998" s="134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</row>
    <row r="999" spans="1:50" s="10" customFormat="1">
      <c r="A999"/>
      <c r="B999"/>
      <c r="C999"/>
      <c r="D999" s="133"/>
      <c r="E999" s="134"/>
      <c r="F999" s="134"/>
      <c r="G999" s="134"/>
      <c r="H999" s="134"/>
      <c r="I999" s="134"/>
      <c r="J999" s="134"/>
      <c r="K999" s="134"/>
      <c r="L999" s="134"/>
      <c r="M999" s="132"/>
      <c r="N999" s="134"/>
      <c r="O999" s="134"/>
      <c r="P999" s="134"/>
      <c r="Q999" s="134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</row>
    <row r="1000" spans="1:50" s="10" customFormat="1">
      <c r="A1000"/>
      <c r="B1000"/>
      <c r="C1000"/>
      <c r="D1000" s="133"/>
      <c r="E1000" s="134"/>
      <c r="F1000" s="134"/>
      <c r="G1000" s="134"/>
      <c r="H1000" s="134"/>
      <c r="I1000" s="134"/>
      <c r="J1000" s="134"/>
      <c r="K1000" s="134"/>
      <c r="L1000" s="134"/>
      <c r="M1000" s="132"/>
      <c r="N1000" s="134"/>
      <c r="O1000" s="134"/>
      <c r="P1000" s="134"/>
      <c r="Q1000" s="134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</row>
    <row r="1001" spans="1:50" s="10" customFormat="1">
      <c r="A1001"/>
      <c r="B1001"/>
      <c r="C1001"/>
      <c r="D1001" s="133"/>
      <c r="E1001" s="134"/>
      <c r="F1001" s="134"/>
      <c r="G1001" s="134"/>
      <c r="H1001" s="134"/>
      <c r="I1001" s="134"/>
      <c r="J1001" s="134"/>
      <c r="K1001" s="134"/>
      <c r="L1001" s="134"/>
      <c r="M1001" s="132"/>
      <c r="N1001" s="134"/>
      <c r="O1001" s="134"/>
      <c r="P1001" s="134"/>
      <c r="Q1001" s="134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</row>
    <row r="1002" spans="1:50" s="10" customFormat="1">
      <c r="A1002"/>
      <c r="B1002"/>
      <c r="C1002"/>
      <c r="D1002" s="133"/>
      <c r="E1002" s="134"/>
      <c r="F1002" s="134"/>
      <c r="G1002" s="134"/>
      <c r="H1002" s="134"/>
      <c r="I1002" s="134"/>
      <c r="J1002" s="134"/>
      <c r="K1002" s="134"/>
      <c r="L1002" s="134"/>
      <c r="M1002" s="132"/>
      <c r="N1002" s="134"/>
      <c r="O1002" s="134"/>
      <c r="P1002" s="134"/>
      <c r="Q1002" s="134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</row>
  </sheetData>
  <mergeCells count="2">
    <mergeCell ref="E4:H4"/>
    <mergeCell ref="E10:Q10"/>
  </mergeCells>
  <hyperlinks>
    <hyperlink ref="E7" location="DIV_03" display="DIV 03" xr:uid="{8CB5B688-4903-4EB6-BEB5-C44F52A7EF2C}"/>
    <hyperlink ref="E8" location="DIV_04" display="DIV 04" xr:uid="{C2F32522-2E55-4AEB-AD94-5F57FD9B1B8F}"/>
    <hyperlink ref="E6" location="DIV_02" display="DIV 02" xr:uid="{24A6DF2C-6460-4B9D-8734-DFC687A24A8D}"/>
    <hyperlink ref="F5" location="DIV_05" display="DIV 05" xr:uid="{2DC18544-1C92-4F1C-83D6-95CD39B5F465}"/>
    <hyperlink ref="F7" location="DIV_07" display="DIV 07" xr:uid="{8F08793B-1457-444C-A557-72C91D2F8B46}"/>
    <hyperlink ref="F6" location="DIV_06" display="DIV 06" xr:uid="{CD950FAA-C16C-4AB6-B20D-BEF24C9210D3}"/>
    <hyperlink ref="F8" location="DIV_08" display="DIV 08" xr:uid="{6EA5DC0D-8415-4646-BA2C-34889AA6102F}"/>
    <hyperlink ref="G5" location="DIV_09" display="DIV 09" xr:uid="{C3C01BC1-DAE9-4036-AC14-F976FF98C535}"/>
    <hyperlink ref="G6" location="DIV_10" display="DIV 10" xr:uid="{435C7EBB-6AC4-4059-B23A-6EEAA3A0488A}"/>
    <hyperlink ref="G7" location="DIV_11" display="DIV 11" xr:uid="{C0DD96E3-4928-45D5-BA9C-B2CBC5A55FB3}"/>
    <hyperlink ref="G8" location="DIV_12" display="DIV 12" xr:uid="{0B9BFADE-BEF8-4A32-A96F-7ECC3D930C0B}"/>
    <hyperlink ref="H5" location="DIV_13" display="DIV 13" xr:uid="{A04711BB-5ACC-4728-A035-CCC8FCFF8DDA}"/>
    <hyperlink ref="H6" location="DIV_14" display="DIV 14" xr:uid="{22DC18FB-4FF4-48D0-86AD-FD456681308C}"/>
    <hyperlink ref="H7" location="DIV_15" display="DIV 15" xr:uid="{CC150F15-CEC7-4809-A76E-53EF388A7E63}"/>
    <hyperlink ref="H8" location="DIV_16" display="DIV 16" xr:uid="{4B0D55A2-07B8-4EFB-9A31-105BECA22342}"/>
    <hyperlink ref="E5" location="DIV_01" display="DIV 01" xr:uid="{B9686314-CCA0-457D-9693-9D233ECB4B64}"/>
  </hyperlinks>
  <pageMargins left="0.7" right="0.7" top="0.75" bottom="0.75" header="0.3" footer="0.3"/>
  <pageSetup paperSize="4" scale="70" fitToHeight="0" orientation="landscape" r:id="rId1"/>
  <headerFooter>
    <oddHeader>&amp;L&amp;G&amp;R&amp;"Calibri,Regular"&amp;20&amp;U&amp;K559CBEATTACHMENT #3</oddHeader>
    <oddFooter>Page &amp;P of &amp;N</oddFoot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2476D-CEB6-4AE7-98D4-3C613A2B909D}">
  <sheetPr>
    <pageSetUpPr fitToPage="1"/>
  </sheetPr>
  <dimension ref="B2:K149"/>
  <sheetViews>
    <sheetView view="pageBreakPreview" zoomScale="60" zoomScaleNormal="100" workbookViewId="0">
      <selection activeCell="F69" sqref="F69"/>
    </sheetView>
  </sheetViews>
  <sheetFormatPr defaultColWidth="9.08984375" defaultRowHeight="12.5"/>
  <cols>
    <col min="1" max="1" width="9.08984375" style="9"/>
    <col min="2" max="2" width="2.6328125" style="18" customWidth="1"/>
    <col min="3" max="3" width="47.36328125" style="9" bestFit="1" customWidth="1"/>
    <col min="4" max="4" width="9.08984375" style="9"/>
    <col min="5" max="5" width="9.08984375" style="8"/>
    <col min="6" max="6" width="15.453125" style="15" customWidth="1"/>
    <col min="7" max="7" width="16.08984375" style="8" customWidth="1"/>
    <col min="8" max="8" width="11.36328125" style="11" customWidth="1"/>
    <col min="9" max="9" width="11.54296875" style="11" hidden="1" customWidth="1"/>
    <col min="10" max="10" width="15.08984375" style="12" customWidth="1"/>
    <col min="11" max="11" width="2.6328125" style="18" customWidth="1"/>
    <col min="12" max="16384" width="9.08984375" style="9"/>
  </cols>
  <sheetData>
    <row r="2" spans="3:10" ht="20">
      <c r="C2" s="35" t="str">
        <f>RECAP!E2</f>
        <v>PUBLIC SAFETY COMPLEX</v>
      </c>
    </row>
    <row r="3" spans="3:10" ht="20">
      <c r="C3" s="35" t="str">
        <f>RECAP!E3</f>
        <v>VAN ALSTYNE, TX</v>
      </c>
    </row>
    <row r="5" spans="3:10" ht="18">
      <c r="C5" s="414" t="s">
        <v>112</v>
      </c>
      <c r="D5" s="414"/>
      <c r="E5" s="414"/>
      <c r="F5" s="414"/>
      <c r="G5" s="414"/>
      <c r="H5" s="414"/>
      <c r="I5" s="413"/>
      <c r="J5" s="414"/>
    </row>
    <row r="7" spans="3:10" ht="13">
      <c r="C7" s="423" t="s">
        <v>481</v>
      </c>
    </row>
    <row r="8" spans="3:10">
      <c r="C8" s="470">
        <v>14</v>
      </c>
      <c r="D8" s="9" t="s">
        <v>1</v>
      </c>
    </row>
    <row r="9" spans="3:10">
      <c r="C9" s="20">
        <f>C8*4.348125</f>
        <v>60.873749999999994</v>
      </c>
      <c r="D9" s="9" t="s">
        <v>0</v>
      </c>
      <c r="F9" s="424"/>
    </row>
    <row r="10" spans="3:10">
      <c r="C10" s="20">
        <f>C9*7</f>
        <v>426.11624999999998</v>
      </c>
      <c r="D10" s="9" t="s">
        <v>160</v>
      </c>
    </row>
    <row r="12" spans="3:10" ht="13">
      <c r="C12" s="34" t="s">
        <v>482</v>
      </c>
    </row>
    <row r="13" spans="3:10">
      <c r="C13" s="32" t="s">
        <v>483</v>
      </c>
      <c r="J13" s="425">
        <f>J53</f>
        <v>0</v>
      </c>
    </row>
    <row r="14" spans="3:10">
      <c r="C14" s="32" t="s">
        <v>484</v>
      </c>
      <c r="J14" s="425">
        <f>J80</f>
        <v>0</v>
      </c>
    </row>
    <row r="15" spans="3:10">
      <c r="C15" s="32" t="s">
        <v>95</v>
      </c>
      <c r="J15" s="425">
        <f>J109</f>
        <v>0</v>
      </c>
    </row>
    <row r="16" spans="3:10">
      <c r="C16" s="32" t="s">
        <v>485</v>
      </c>
      <c r="J16" s="425">
        <f>J124</f>
        <v>0</v>
      </c>
    </row>
    <row r="17" spans="2:11" ht="13" thickBot="1">
      <c r="C17" s="32" t="s">
        <v>30</v>
      </c>
      <c r="J17" s="471">
        <v>0</v>
      </c>
    </row>
    <row r="18" spans="2:11" ht="13.5" thickTop="1">
      <c r="C18" s="33" t="s">
        <v>487</v>
      </c>
      <c r="D18" s="26"/>
      <c r="E18" s="27"/>
      <c r="F18" s="28"/>
      <c r="G18" s="27"/>
      <c r="H18" s="29"/>
      <c r="I18" s="29"/>
      <c r="J18" s="472">
        <f>SUM(J13:J17)</f>
        <v>0</v>
      </c>
    </row>
    <row r="21" spans="2:11">
      <c r="C21" s="32" t="s">
        <v>26</v>
      </c>
      <c r="J21" s="425">
        <f>J149</f>
        <v>185461.39758834432</v>
      </c>
    </row>
    <row r="22" spans="2:11" ht="13">
      <c r="C22" s="2" t="s">
        <v>488</v>
      </c>
      <c r="J22" s="83">
        <f>J18+J21</f>
        <v>185461.39758834432</v>
      </c>
    </row>
    <row r="25" spans="2:11" ht="13" thickBot="1"/>
    <row r="26" spans="2:11" ht="13.5" thickTop="1" thickBot="1">
      <c r="C26" s="47"/>
      <c r="D26" s="47"/>
      <c r="E26" s="48"/>
      <c r="F26" s="49"/>
      <c r="G26" s="48"/>
      <c r="H26" s="48"/>
      <c r="I26" s="48"/>
      <c r="J26" s="50"/>
    </row>
    <row r="27" spans="2:11" ht="13" thickTop="1"/>
    <row r="28" spans="2:11" ht="13">
      <c r="C28" s="2" t="s">
        <v>489</v>
      </c>
      <c r="D28" s="2"/>
      <c r="E28" s="2"/>
      <c r="F28" s="2"/>
      <c r="G28" s="2"/>
      <c r="H28" s="2"/>
      <c r="I28" s="373"/>
      <c r="J28" s="2"/>
    </row>
    <row r="30" spans="2:11" s="2" customFormat="1" ht="13">
      <c r="B30" s="19"/>
      <c r="E30" s="373" t="s">
        <v>865</v>
      </c>
      <c r="F30" s="16" t="s">
        <v>490</v>
      </c>
      <c r="G30" s="13" t="s">
        <v>491</v>
      </c>
      <c r="H30" s="13" t="s">
        <v>2</v>
      </c>
      <c r="I30" s="13" t="s">
        <v>9</v>
      </c>
      <c r="J30" s="17" t="s">
        <v>18</v>
      </c>
      <c r="K30" s="19"/>
    </row>
    <row r="31" spans="2:11" ht="13.5" thickBot="1">
      <c r="C31" s="21" t="s">
        <v>483</v>
      </c>
      <c r="D31" s="22"/>
      <c r="E31" s="23"/>
      <c r="F31" s="24"/>
      <c r="G31" s="23"/>
      <c r="H31" s="25"/>
      <c r="I31" s="25"/>
      <c r="J31" s="25"/>
    </row>
    <row r="32" spans="2:11" ht="12.5" customHeight="1">
      <c r="C32" s="46" t="s">
        <v>492</v>
      </c>
      <c r="E32" s="14">
        <v>0</v>
      </c>
      <c r="F32" s="15">
        <f>E32*C9</f>
        <v>0</v>
      </c>
      <c r="G32" s="8" t="s">
        <v>0</v>
      </c>
      <c r="H32" s="11">
        <v>0</v>
      </c>
      <c r="I32" s="11">
        <v>5700</v>
      </c>
      <c r="J32" s="12">
        <f>F32*H32</f>
        <v>0</v>
      </c>
    </row>
    <row r="33" spans="3:10" ht="12.5" customHeight="1">
      <c r="C33" s="46" t="s">
        <v>493</v>
      </c>
      <c r="E33" s="14">
        <v>0</v>
      </c>
      <c r="F33" s="15">
        <f>E33*C9</f>
        <v>0</v>
      </c>
      <c r="G33" s="8" t="s">
        <v>0</v>
      </c>
      <c r="H33" s="11">
        <v>0</v>
      </c>
      <c r="I33" s="11">
        <v>5000</v>
      </c>
      <c r="J33" s="12">
        <f t="shared" ref="J33:J50" si="0">F33*H33</f>
        <v>0</v>
      </c>
    </row>
    <row r="34" spans="3:10" ht="25.5" customHeight="1">
      <c r="C34" s="46" t="s">
        <v>494</v>
      </c>
      <c r="E34" s="14"/>
      <c r="F34" s="15">
        <f>E34*C9</f>
        <v>0</v>
      </c>
      <c r="G34" s="8" t="s">
        <v>0</v>
      </c>
      <c r="H34" s="11">
        <v>0</v>
      </c>
      <c r="I34" s="11">
        <v>3700</v>
      </c>
      <c r="J34" s="12">
        <f t="shared" si="0"/>
        <v>0</v>
      </c>
    </row>
    <row r="35" spans="3:10" ht="12.5" customHeight="1">
      <c r="C35" s="46" t="s">
        <v>495</v>
      </c>
      <c r="E35" s="14">
        <v>0</v>
      </c>
      <c r="F35" s="15">
        <f>E35*C9</f>
        <v>0</v>
      </c>
      <c r="G35" s="8" t="s">
        <v>0</v>
      </c>
      <c r="H35" s="11">
        <v>0</v>
      </c>
      <c r="I35" s="11">
        <v>3100</v>
      </c>
      <c r="J35" s="12">
        <f t="shared" si="0"/>
        <v>0</v>
      </c>
    </row>
    <row r="36" spans="3:10" ht="12.5" customHeight="1">
      <c r="C36" s="46" t="s">
        <v>496</v>
      </c>
      <c r="E36" s="14"/>
      <c r="F36" s="15">
        <f>E36*C9</f>
        <v>0</v>
      </c>
      <c r="G36" s="8" t="s">
        <v>0</v>
      </c>
      <c r="H36" s="11">
        <v>0</v>
      </c>
      <c r="I36" s="11">
        <v>2500</v>
      </c>
      <c r="J36" s="12">
        <f t="shared" si="0"/>
        <v>0</v>
      </c>
    </row>
    <row r="37" spans="3:10" ht="12.5" customHeight="1">
      <c r="C37" s="46" t="s">
        <v>497</v>
      </c>
      <c r="E37" s="14"/>
      <c r="F37" s="15">
        <f>E37*C9</f>
        <v>0</v>
      </c>
      <c r="G37" s="8" t="s">
        <v>0</v>
      </c>
      <c r="H37" s="11">
        <v>0</v>
      </c>
      <c r="I37" s="11">
        <v>4200</v>
      </c>
      <c r="J37" s="12">
        <f t="shared" si="0"/>
        <v>0</v>
      </c>
    </row>
    <row r="38" spans="3:10" ht="12.75" customHeight="1">
      <c r="C38" s="46" t="s">
        <v>498</v>
      </c>
      <c r="E38" s="14"/>
      <c r="F38" s="15">
        <f>E38*C9</f>
        <v>0</v>
      </c>
      <c r="G38" s="8" t="s">
        <v>0</v>
      </c>
      <c r="H38" s="11">
        <v>0</v>
      </c>
      <c r="I38" s="11">
        <v>3300</v>
      </c>
      <c r="J38" s="12">
        <f t="shared" si="0"/>
        <v>0</v>
      </c>
    </row>
    <row r="39" spans="3:10" ht="12.5" customHeight="1">
      <c r="C39" s="46" t="s">
        <v>499</v>
      </c>
      <c r="E39" s="14"/>
      <c r="F39" s="15">
        <f>E39*$C$9</f>
        <v>0</v>
      </c>
      <c r="G39" s="8" t="s">
        <v>0</v>
      </c>
      <c r="H39" s="11">
        <v>0</v>
      </c>
      <c r="I39" s="11">
        <v>2300</v>
      </c>
      <c r="J39" s="12">
        <f t="shared" si="0"/>
        <v>0</v>
      </c>
    </row>
    <row r="40" spans="3:10">
      <c r="C40" s="46" t="s">
        <v>500</v>
      </c>
      <c r="E40" s="14"/>
      <c r="F40" s="15">
        <f t="shared" ref="F40:F47" si="1">E40*$C$9</f>
        <v>0</v>
      </c>
      <c r="G40" s="8" t="s">
        <v>0</v>
      </c>
      <c r="H40" s="11">
        <v>0</v>
      </c>
      <c r="I40" s="11">
        <v>2500</v>
      </c>
      <c r="J40" s="12">
        <f t="shared" si="0"/>
        <v>0</v>
      </c>
    </row>
    <row r="41" spans="3:10">
      <c r="C41" s="46" t="s">
        <v>501</v>
      </c>
      <c r="E41" s="14"/>
      <c r="F41" s="15">
        <f t="shared" si="1"/>
        <v>0</v>
      </c>
      <c r="G41" s="8" t="s">
        <v>0</v>
      </c>
      <c r="H41" s="11">
        <v>0</v>
      </c>
      <c r="I41" s="11">
        <v>1900</v>
      </c>
      <c r="J41" s="12">
        <f t="shared" si="0"/>
        <v>0</v>
      </c>
    </row>
    <row r="42" spans="3:10">
      <c r="C42" s="46" t="s">
        <v>502</v>
      </c>
      <c r="E42" s="14"/>
      <c r="F42" s="15">
        <f t="shared" si="1"/>
        <v>0</v>
      </c>
      <c r="G42" s="8" t="s">
        <v>0</v>
      </c>
      <c r="H42" s="11">
        <v>0</v>
      </c>
      <c r="I42" s="11">
        <v>1700</v>
      </c>
      <c r="J42" s="12">
        <f t="shared" si="0"/>
        <v>0</v>
      </c>
    </row>
    <row r="43" spans="3:10" ht="13" customHeight="1">
      <c r="C43" s="46" t="s">
        <v>503</v>
      </c>
      <c r="E43" s="14"/>
      <c r="F43" s="15">
        <f t="shared" si="1"/>
        <v>0</v>
      </c>
      <c r="G43" s="8" t="s">
        <v>0</v>
      </c>
      <c r="H43" s="11">
        <v>0</v>
      </c>
      <c r="I43" s="11">
        <v>1600</v>
      </c>
      <c r="J43" s="12">
        <f t="shared" si="0"/>
        <v>0</v>
      </c>
    </row>
    <row r="44" spans="3:10" ht="13" customHeight="1">
      <c r="C44" s="46" t="s">
        <v>504</v>
      </c>
      <c r="E44" s="14"/>
      <c r="F44" s="15">
        <f t="shared" si="1"/>
        <v>0</v>
      </c>
      <c r="G44" s="8" t="s">
        <v>0</v>
      </c>
      <c r="H44" s="11">
        <v>0</v>
      </c>
      <c r="I44" s="11">
        <v>1400</v>
      </c>
      <c r="J44" s="12">
        <f t="shared" si="0"/>
        <v>0</v>
      </c>
    </row>
    <row r="45" spans="3:10" ht="13" customHeight="1">
      <c r="C45" s="46" t="s">
        <v>505</v>
      </c>
      <c r="E45" s="14"/>
      <c r="F45" s="15">
        <f t="shared" si="1"/>
        <v>0</v>
      </c>
      <c r="G45" s="8" t="s">
        <v>0</v>
      </c>
      <c r="H45" s="11">
        <v>0</v>
      </c>
      <c r="I45" s="11">
        <v>3100</v>
      </c>
      <c r="J45" s="12">
        <f t="shared" si="0"/>
        <v>0</v>
      </c>
    </row>
    <row r="46" spans="3:10" ht="13" customHeight="1">
      <c r="C46" s="46" t="s">
        <v>506</v>
      </c>
      <c r="E46" s="14"/>
      <c r="F46" s="15">
        <f t="shared" si="1"/>
        <v>0</v>
      </c>
      <c r="G46" s="8" t="s">
        <v>0</v>
      </c>
      <c r="H46" s="11">
        <v>0</v>
      </c>
      <c r="I46" s="11">
        <v>2000</v>
      </c>
      <c r="J46" s="12">
        <f t="shared" si="0"/>
        <v>0</v>
      </c>
    </row>
    <row r="47" spans="3:10" ht="13" customHeight="1">
      <c r="C47" s="46" t="s">
        <v>507</v>
      </c>
      <c r="E47" s="14"/>
      <c r="F47" s="15">
        <f t="shared" si="1"/>
        <v>0</v>
      </c>
      <c r="G47" s="8" t="s">
        <v>0</v>
      </c>
      <c r="H47" s="11">
        <v>0</v>
      </c>
      <c r="I47" s="11">
        <v>1250</v>
      </c>
      <c r="J47" s="12">
        <f t="shared" si="0"/>
        <v>0</v>
      </c>
    </row>
    <row r="48" spans="3:10" ht="13" customHeight="1">
      <c r="C48" s="46" t="s">
        <v>508</v>
      </c>
      <c r="E48" s="14"/>
      <c r="G48" s="8" t="s">
        <v>509</v>
      </c>
      <c r="H48" s="11">
        <v>0</v>
      </c>
      <c r="I48" s="11">
        <v>37</v>
      </c>
      <c r="J48" s="12">
        <f t="shared" si="0"/>
        <v>0</v>
      </c>
    </row>
    <row r="49" spans="2:11" ht="13" customHeight="1">
      <c r="C49" s="46" t="s">
        <v>510</v>
      </c>
      <c r="E49" s="14"/>
      <c r="G49" s="8" t="s">
        <v>509</v>
      </c>
      <c r="H49" s="11">
        <v>0</v>
      </c>
      <c r="I49" s="11">
        <v>31</v>
      </c>
      <c r="J49" s="12">
        <f t="shared" si="0"/>
        <v>0</v>
      </c>
    </row>
    <row r="50" spans="2:11" ht="13" customHeight="1">
      <c r="C50" s="46" t="s">
        <v>511</v>
      </c>
      <c r="E50" s="14"/>
      <c r="G50" s="8" t="s">
        <v>509</v>
      </c>
      <c r="H50" s="11">
        <v>0</v>
      </c>
      <c r="I50" s="11">
        <v>24</v>
      </c>
      <c r="J50" s="12">
        <f t="shared" si="0"/>
        <v>0</v>
      </c>
    </row>
    <row r="51" spans="2:11" ht="13" customHeight="1">
      <c r="C51" s="46"/>
    </row>
    <row r="52" spans="2:11" ht="13" customHeight="1" thickBot="1"/>
    <row r="53" spans="2:11" s="2" customFormat="1" ht="13.5" thickTop="1">
      <c r="B53" s="19"/>
      <c r="C53" s="31" t="s">
        <v>512</v>
      </c>
      <c r="D53" s="26"/>
      <c r="E53" s="27"/>
      <c r="F53" s="28"/>
      <c r="G53" s="27"/>
      <c r="H53" s="29"/>
      <c r="I53" s="29"/>
      <c r="J53" s="30">
        <f>SUM(J34:J42)</f>
        <v>0</v>
      </c>
      <c r="K53" s="19"/>
    </row>
    <row r="56" spans="2:11" ht="13">
      <c r="D56" s="2"/>
      <c r="E56" s="373"/>
      <c r="F56" s="16" t="s">
        <v>490</v>
      </c>
      <c r="G56" s="13" t="s">
        <v>491</v>
      </c>
      <c r="H56" s="13" t="s">
        <v>2</v>
      </c>
      <c r="I56" s="13" t="s">
        <v>9</v>
      </c>
      <c r="J56" s="17" t="s">
        <v>18</v>
      </c>
    </row>
    <row r="57" spans="2:11" ht="13.5" thickBot="1">
      <c r="C57" s="21" t="s">
        <v>484</v>
      </c>
      <c r="D57" s="22"/>
      <c r="E57" s="23"/>
      <c r="F57" s="24"/>
      <c r="G57" s="23"/>
      <c r="H57" s="25"/>
      <c r="I57" s="25"/>
      <c r="J57" s="25"/>
    </row>
    <row r="58" spans="2:11">
      <c r="C58" s="9" t="s">
        <v>513</v>
      </c>
      <c r="F58" s="15">
        <v>0</v>
      </c>
      <c r="G58" s="8" t="s">
        <v>514</v>
      </c>
      <c r="H58" s="11">
        <v>0</v>
      </c>
      <c r="I58" s="11">
        <v>750</v>
      </c>
      <c r="J58" s="12">
        <f>F58*H58</f>
        <v>0</v>
      </c>
    </row>
    <row r="59" spans="2:11" ht="12.5" customHeight="1">
      <c r="C59" s="9" t="s">
        <v>515</v>
      </c>
      <c r="D59" s="37" t="s">
        <v>516</v>
      </c>
      <c r="G59" s="8" t="s">
        <v>164</v>
      </c>
      <c r="H59" s="11">
        <v>50000</v>
      </c>
      <c r="I59" s="11">
        <v>70000</v>
      </c>
      <c r="J59" s="12">
        <f t="shared" ref="J59:J63" si="2">F59*H59</f>
        <v>0</v>
      </c>
    </row>
    <row r="60" spans="2:11">
      <c r="C60" s="9" t="s">
        <v>517</v>
      </c>
      <c r="F60" s="15">
        <v>0</v>
      </c>
      <c r="G60" s="8" t="s">
        <v>514</v>
      </c>
      <c r="H60" s="11">
        <v>0</v>
      </c>
      <c r="I60" s="11">
        <v>450</v>
      </c>
      <c r="J60" s="12">
        <f t="shared" si="2"/>
        <v>0</v>
      </c>
    </row>
    <row r="61" spans="2:11">
      <c r="C61" s="9" t="s">
        <v>518</v>
      </c>
      <c r="D61" s="37"/>
      <c r="F61" s="15">
        <v>0</v>
      </c>
      <c r="G61" s="8" t="s">
        <v>164</v>
      </c>
      <c r="H61" s="11">
        <v>0</v>
      </c>
      <c r="I61" s="11">
        <v>2500</v>
      </c>
      <c r="J61" s="12">
        <f t="shared" si="2"/>
        <v>0</v>
      </c>
    </row>
    <row r="62" spans="2:11" ht="12.5" customHeight="1">
      <c r="C62" s="9" t="s">
        <v>519</v>
      </c>
      <c r="J62" s="12">
        <f t="shared" si="2"/>
        <v>0</v>
      </c>
    </row>
    <row r="63" spans="2:11">
      <c r="C63" s="9" t="s">
        <v>520</v>
      </c>
      <c r="F63" s="15">
        <v>0</v>
      </c>
      <c r="G63" s="8" t="s">
        <v>514</v>
      </c>
      <c r="H63" s="11">
        <v>0</v>
      </c>
      <c r="I63" s="11">
        <v>185</v>
      </c>
      <c r="J63" s="12">
        <f t="shared" si="2"/>
        <v>0</v>
      </c>
    </row>
    <row r="64" spans="2:11">
      <c r="C64" s="9" t="s">
        <v>521</v>
      </c>
      <c r="F64" s="15">
        <v>0</v>
      </c>
      <c r="G64" s="8" t="s">
        <v>164</v>
      </c>
      <c r="H64" s="11">
        <v>0</v>
      </c>
      <c r="I64" s="11">
        <v>1750</v>
      </c>
      <c r="J64" s="12">
        <f t="shared" ref="J64:J79" si="3">F64*H64</f>
        <v>0</v>
      </c>
    </row>
    <row r="65" spans="3:10">
      <c r="C65" s="9" t="s">
        <v>522</v>
      </c>
      <c r="F65" s="15">
        <v>0</v>
      </c>
      <c r="G65" s="8" t="s">
        <v>514</v>
      </c>
      <c r="H65" s="11">
        <v>0</v>
      </c>
      <c r="I65" s="11">
        <v>500</v>
      </c>
      <c r="J65" s="12">
        <f t="shared" si="3"/>
        <v>0</v>
      </c>
    </row>
    <row r="66" spans="3:10">
      <c r="C66" s="9" t="s">
        <v>523</v>
      </c>
      <c r="E66" s="36"/>
      <c r="F66" s="15">
        <v>0</v>
      </c>
      <c r="G66" s="8" t="s">
        <v>514</v>
      </c>
      <c r="H66" s="11">
        <v>0</v>
      </c>
      <c r="I66" s="11">
        <v>150</v>
      </c>
      <c r="J66" s="12">
        <f t="shared" si="3"/>
        <v>0</v>
      </c>
    </row>
    <row r="67" spans="3:10">
      <c r="C67" s="9" t="s">
        <v>524</v>
      </c>
      <c r="F67" s="15">
        <v>0</v>
      </c>
      <c r="G67" s="8" t="s">
        <v>164</v>
      </c>
      <c r="H67" s="11">
        <v>0</v>
      </c>
      <c r="I67" s="11">
        <v>6500</v>
      </c>
      <c r="J67" s="12">
        <f t="shared" si="3"/>
        <v>0</v>
      </c>
    </row>
    <row r="68" spans="3:10">
      <c r="C68" s="9" t="s">
        <v>525</v>
      </c>
      <c r="E68" s="36"/>
      <c r="F68" s="15">
        <v>0</v>
      </c>
      <c r="G68" s="8" t="s">
        <v>514</v>
      </c>
      <c r="H68" s="11">
        <v>0</v>
      </c>
      <c r="I68" s="11">
        <v>150</v>
      </c>
      <c r="J68" s="12">
        <f t="shared" si="3"/>
        <v>0</v>
      </c>
    </row>
    <row r="69" spans="3:10">
      <c r="C69" s="9" t="s">
        <v>526</v>
      </c>
      <c r="F69" s="15">
        <v>0</v>
      </c>
      <c r="G69" s="8" t="s">
        <v>514</v>
      </c>
      <c r="H69" s="11">
        <v>0</v>
      </c>
      <c r="I69" s="11">
        <v>400</v>
      </c>
      <c r="J69" s="12">
        <f t="shared" si="3"/>
        <v>0</v>
      </c>
    </row>
    <row r="70" spans="3:10">
      <c r="C70" s="9" t="s">
        <v>527</v>
      </c>
      <c r="F70" s="15">
        <v>0</v>
      </c>
      <c r="G70" s="8" t="s">
        <v>514</v>
      </c>
      <c r="H70" s="11">
        <v>0</v>
      </c>
      <c r="I70" s="11">
        <v>100</v>
      </c>
      <c r="J70" s="12">
        <f t="shared" si="3"/>
        <v>0</v>
      </c>
    </row>
    <row r="71" spans="3:10">
      <c r="C71" s="9" t="s">
        <v>528</v>
      </c>
      <c r="F71" s="15">
        <v>0</v>
      </c>
      <c r="G71" s="8" t="s">
        <v>514</v>
      </c>
      <c r="H71" s="11">
        <v>0</v>
      </c>
      <c r="I71" s="11">
        <v>300</v>
      </c>
      <c r="J71" s="12">
        <f t="shared" si="3"/>
        <v>0</v>
      </c>
    </row>
    <row r="72" spans="3:10">
      <c r="C72" s="9" t="s">
        <v>529</v>
      </c>
      <c r="F72" s="15">
        <v>0</v>
      </c>
      <c r="G72" s="8" t="s">
        <v>514</v>
      </c>
      <c r="H72" s="11">
        <v>0</v>
      </c>
      <c r="I72" s="11">
        <v>150</v>
      </c>
      <c r="J72" s="12">
        <f t="shared" si="3"/>
        <v>0</v>
      </c>
    </row>
    <row r="73" spans="3:10">
      <c r="C73" s="9" t="s">
        <v>530</v>
      </c>
      <c r="F73" s="15">
        <v>0</v>
      </c>
      <c r="G73" s="8" t="s">
        <v>514</v>
      </c>
      <c r="H73" s="11">
        <v>0</v>
      </c>
      <c r="I73" s="11">
        <v>100</v>
      </c>
      <c r="J73" s="12">
        <f t="shared" si="3"/>
        <v>0</v>
      </c>
    </row>
    <row r="74" spans="3:10">
      <c r="C74" s="9" t="s">
        <v>531</v>
      </c>
      <c r="F74" s="15">
        <v>0</v>
      </c>
      <c r="G74" s="8" t="s">
        <v>514</v>
      </c>
      <c r="H74" s="11">
        <v>0</v>
      </c>
      <c r="I74" s="11">
        <v>100</v>
      </c>
      <c r="J74" s="12">
        <f t="shared" si="3"/>
        <v>0</v>
      </c>
    </row>
    <row r="75" spans="3:10">
      <c r="C75" s="9" t="s">
        <v>532</v>
      </c>
      <c r="F75" s="15">
        <v>0</v>
      </c>
      <c r="G75" s="8" t="s">
        <v>514</v>
      </c>
      <c r="H75" s="11">
        <v>0</v>
      </c>
      <c r="I75" s="11">
        <v>150</v>
      </c>
      <c r="J75" s="12">
        <f t="shared" si="3"/>
        <v>0</v>
      </c>
    </row>
    <row r="76" spans="3:10">
      <c r="C76" s="9" t="s">
        <v>133</v>
      </c>
      <c r="F76" s="15">
        <v>0</v>
      </c>
      <c r="G76" s="8" t="s">
        <v>533</v>
      </c>
      <c r="H76" s="130">
        <v>0</v>
      </c>
      <c r="I76" s="130">
        <v>2E-3</v>
      </c>
      <c r="J76" s="12">
        <f t="shared" si="3"/>
        <v>0</v>
      </c>
    </row>
    <row r="77" spans="3:10">
      <c r="C77" s="9" t="s">
        <v>534</v>
      </c>
      <c r="F77" s="15">
        <v>0</v>
      </c>
      <c r="G77" s="8" t="s">
        <v>514</v>
      </c>
      <c r="H77" s="131">
        <v>0</v>
      </c>
      <c r="I77" s="131">
        <f>1500*1.1</f>
        <v>1650.0000000000002</v>
      </c>
      <c r="J77" s="12">
        <f t="shared" si="3"/>
        <v>0</v>
      </c>
    </row>
    <row r="78" spans="3:10">
      <c r="C78" s="9" t="s">
        <v>478</v>
      </c>
      <c r="F78" s="15">
        <v>0</v>
      </c>
      <c r="G78" s="8" t="s">
        <v>164</v>
      </c>
      <c r="H78" s="131">
        <v>0</v>
      </c>
      <c r="I78" s="131">
        <v>7500</v>
      </c>
      <c r="J78" s="12">
        <f t="shared" si="3"/>
        <v>0</v>
      </c>
    </row>
    <row r="79" spans="3:10" ht="13" thickBot="1">
      <c r="C79" s="9" t="s">
        <v>535</v>
      </c>
      <c r="F79" s="15">
        <v>0</v>
      </c>
      <c r="G79" s="8" t="s">
        <v>162</v>
      </c>
      <c r="H79" s="11">
        <v>0</v>
      </c>
      <c r="I79" s="11">
        <v>15000</v>
      </c>
      <c r="J79" s="12">
        <f t="shared" si="3"/>
        <v>0</v>
      </c>
    </row>
    <row r="80" spans="3:10" ht="13.5" thickTop="1">
      <c r="C80" s="31" t="s">
        <v>536</v>
      </c>
      <c r="D80" s="26"/>
      <c r="E80" s="27"/>
      <c r="F80" s="28"/>
      <c r="G80" s="27"/>
      <c r="H80" s="29"/>
      <c r="I80" s="29"/>
      <c r="J80" s="30">
        <f>SUM(J58:J79)</f>
        <v>0</v>
      </c>
    </row>
    <row r="83" spans="3:10" ht="13">
      <c r="D83" s="2"/>
      <c r="E83" s="373"/>
      <c r="F83" s="16" t="s">
        <v>490</v>
      </c>
      <c r="G83" s="13" t="s">
        <v>491</v>
      </c>
      <c r="H83" s="13" t="s">
        <v>2</v>
      </c>
      <c r="I83" s="13" t="s">
        <v>9</v>
      </c>
      <c r="J83" s="17" t="s">
        <v>18</v>
      </c>
    </row>
    <row r="84" spans="3:10" ht="13.5" thickBot="1">
      <c r="C84" s="21" t="s">
        <v>95</v>
      </c>
      <c r="D84" s="22"/>
      <c r="E84" s="23"/>
      <c r="F84" s="24"/>
      <c r="G84" s="23"/>
      <c r="H84" s="25"/>
      <c r="I84" s="25"/>
      <c r="J84" s="25"/>
    </row>
    <row r="85" spans="3:10">
      <c r="C85" s="9" t="s">
        <v>537</v>
      </c>
    </row>
    <row r="86" spans="3:10" ht="12.5" customHeight="1">
      <c r="C86" s="32" t="s">
        <v>538</v>
      </c>
      <c r="E86" s="36">
        <f t="shared" ref="E86:E91" si="4">E32</f>
        <v>0</v>
      </c>
      <c r="F86" s="15">
        <f>E86*$C$8</f>
        <v>0</v>
      </c>
      <c r="G86" s="8" t="s">
        <v>514</v>
      </c>
      <c r="H86" s="11">
        <v>0</v>
      </c>
      <c r="I86" s="11">
        <v>805</v>
      </c>
      <c r="J86" s="12">
        <f>F86*H86</f>
        <v>0</v>
      </c>
    </row>
    <row r="87" spans="3:10" ht="12.5" customHeight="1">
      <c r="C87" s="32" t="s">
        <v>539</v>
      </c>
      <c r="E87" s="36">
        <f t="shared" si="4"/>
        <v>0</v>
      </c>
      <c r="F87" s="15">
        <f t="shared" ref="F87:F97" si="5">E87*$C$8</f>
        <v>0</v>
      </c>
      <c r="G87" s="8" t="s">
        <v>514</v>
      </c>
      <c r="H87" s="11">
        <v>0</v>
      </c>
      <c r="I87" s="11">
        <v>805</v>
      </c>
      <c r="J87" s="12">
        <f t="shared" ref="J87:J106" si="6">F87*H87</f>
        <v>0</v>
      </c>
    </row>
    <row r="88" spans="3:10">
      <c r="C88" s="32" t="s">
        <v>540</v>
      </c>
      <c r="E88" s="36">
        <f t="shared" si="4"/>
        <v>0</v>
      </c>
      <c r="F88" s="15">
        <f t="shared" si="5"/>
        <v>0</v>
      </c>
      <c r="G88" s="8" t="s">
        <v>514</v>
      </c>
      <c r="H88" s="11">
        <v>0</v>
      </c>
      <c r="I88" s="11">
        <v>690</v>
      </c>
      <c r="J88" s="12">
        <f t="shared" si="6"/>
        <v>0</v>
      </c>
    </row>
    <row r="89" spans="3:10" ht="12.5" customHeight="1">
      <c r="C89" s="32" t="s">
        <v>541</v>
      </c>
      <c r="E89" s="36">
        <f t="shared" si="4"/>
        <v>0</v>
      </c>
      <c r="F89" s="15">
        <f t="shared" si="5"/>
        <v>0</v>
      </c>
      <c r="G89" s="8" t="s">
        <v>514</v>
      </c>
      <c r="H89" s="11">
        <v>0</v>
      </c>
      <c r="I89" s="11">
        <v>690</v>
      </c>
      <c r="J89" s="12">
        <f t="shared" si="6"/>
        <v>0</v>
      </c>
    </row>
    <row r="90" spans="3:10" ht="12.5" customHeight="1">
      <c r="C90" s="32" t="s">
        <v>542</v>
      </c>
      <c r="E90" s="36">
        <f t="shared" si="4"/>
        <v>0</v>
      </c>
      <c r="F90" s="15">
        <f t="shared" si="5"/>
        <v>0</v>
      </c>
      <c r="G90" s="8" t="s">
        <v>514</v>
      </c>
      <c r="H90" s="11">
        <v>0</v>
      </c>
      <c r="I90" s="11">
        <v>575</v>
      </c>
      <c r="J90" s="12">
        <f t="shared" si="6"/>
        <v>0</v>
      </c>
    </row>
    <row r="91" spans="3:10" ht="12.5" customHeight="1">
      <c r="C91" s="32" t="s">
        <v>543</v>
      </c>
      <c r="E91" s="36">
        <f t="shared" si="4"/>
        <v>0</v>
      </c>
      <c r="F91" s="15">
        <f t="shared" si="5"/>
        <v>0</v>
      </c>
      <c r="G91" s="8" t="s">
        <v>514</v>
      </c>
      <c r="H91" s="11">
        <v>0</v>
      </c>
      <c r="I91" s="11">
        <v>805</v>
      </c>
      <c r="J91" s="12">
        <f t="shared" si="6"/>
        <v>0</v>
      </c>
    </row>
    <row r="92" spans="3:10" ht="12.5" customHeight="1">
      <c r="C92" s="32" t="s">
        <v>544</v>
      </c>
      <c r="E92" s="36">
        <v>0</v>
      </c>
      <c r="F92" s="15">
        <f t="shared" si="5"/>
        <v>0</v>
      </c>
      <c r="G92" s="8" t="s">
        <v>514</v>
      </c>
      <c r="H92" s="11">
        <v>0</v>
      </c>
      <c r="I92" s="11">
        <v>690</v>
      </c>
      <c r="J92" s="12">
        <f t="shared" si="6"/>
        <v>0</v>
      </c>
    </row>
    <row r="93" spans="3:10">
      <c r="C93" s="32" t="s">
        <v>545</v>
      </c>
      <c r="E93" s="36">
        <f>E38</f>
        <v>0</v>
      </c>
      <c r="F93" s="15">
        <f t="shared" si="5"/>
        <v>0</v>
      </c>
      <c r="G93" s="8" t="s">
        <v>514</v>
      </c>
      <c r="H93" s="11">
        <v>0</v>
      </c>
      <c r="I93" s="11">
        <v>690</v>
      </c>
      <c r="J93" s="12">
        <f t="shared" si="6"/>
        <v>0</v>
      </c>
    </row>
    <row r="94" spans="3:10" ht="12.5" customHeight="1">
      <c r="C94" s="32" t="s">
        <v>546</v>
      </c>
      <c r="E94" s="36">
        <f>E39</f>
        <v>0</v>
      </c>
      <c r="F94" s="15">
        <f t="shared" si="5"/>
        <v>0</v>
      </c>
      <c r="G94" s="8" t="s">
        <v>514</v>
      </c>
      <c r="H94" s="11">
        <v>0</v>
      </c>
      <c r="I94" s="11">
        <v>575</v>
      </c>
      <c r="J94" s="12">
        <f t="shared" si="6"/>
        <v>0</v>
      </c>
    </row>
    <row r="95" spans="3:10">
      <c r="C95" s="32" t="s">
        <v>547</v>
      </c>
      <c r="E95" s="36">
        <f>E40</f>
        <v>0</v>
      </c>
      <c r="F95" s="15">
        <f t="shared" si="5"/>
        <v>0</v>
      </c>
      <c r="G95" s="8" t="s">
        <v>514</v>
      </c>
      <c r="H95" s="11">
        <v>0</v>
      </c>
      <c r="I95" s="11">
        <v>575</v>
      </c>
      <c r="J95" s="12">
        <f t="shared" si="6"/>
        <v>0</v>
      </c>
    </row>
    <row r="96" spans="3:10">
      <c r="C96" s="32" t="s">
        <v>548</v>
      </c>
      <c r="E96" s="36">
        <f>E41</f>
        <v>0</v>
      </c>
      <c r="F96" s="15">
        <f t="shared" si="5"/>
        <v>0</v>
      </c>
      <c r="G96" s="8" t="s">
        <v>514</v>
      </c>
      <c r="H96" s="11">
        <v>0</v>
      </c>
      <c r="I96" s="11">
        <v>575</v>
      </c>
      <c r="J96" s="12">
        <f t="shared" si="6"/>
        <v>0</v>
      </c>
    </row>
    <row r="97" spans="3:10">
      <c r="C97" s="32" t="s">
        <v>549</v>
      </c>
      <c r="E97" s="36">
        <f>SUM(E86:E96)</f>
        <v>0</v>
      </c>
      <c r="F97" s="15">
        <f t="shared" si="5"/>
        <v>0</v>
      </c>
      <c r="G97" s="8" t="s">
        <v>514</v>
      </c>
      <c r="H97" s="11">
        <v>0</v>
      </c>
      <c r="I97" s="11">
        <v>300</v>
      </c>
      <c r="J97" s="12">
        <f t="shared" si="6"/>
        <v>0</v>
      </c>
    </row>
    <row r="98" spans="3:10">
      <c r="C98" s="9" t="s">
        <v>180</v>
      </c>
      <c r="D98" s="37" t="s">
        <v>486</v>
      </c>
      <c r="E98" s="36"/>
      <c r="H98" s="11">
        <v>0</v>
      </c>
      <c r="J98" s="12">
        <f t="shared" si="6"/>
        <v>0</v>
      </c>
    </row>
    <row r="99" spans="3:10" ht="13" customHeight="1">
      <c r="C99" s="32" t="s">
        <v>550</v>
      </c>
      <c r="E99" s="36"/>
      <c r="H99" s="11">
        <v>0</v>
      </c>
      <c r="J99" s="12">
        <f t="shared" si="6"/>
        <v>0</v>
      </c>
    </row>
    <row r="100" spans="3:10" ht="13" customHeight="1">
      <c r="C100" s="32" t="s">
        <v>181</v>
      </c>
      <c r="E100" s="36"/>
      <c r="H100" s="11">
        <v>0</v>
      </c>
      <c r="J100" s="12">
        <f t="shared" si="6"/>
        <v>0</v>
      </c>
    </row>
    <row r="101" spans="3:10" ht="13" customHeight="1">
      <c r="C101" s="32" t="s">
        <v>182</v>
      </c>
      <c r="E101" s="36"/>
      <c r="H101" s="11">
        <v>0</v>
      </c>
      <c r="J101" s="12">
        <f t="shared" si="6"/>
        <v>0</v>
      </c>
    </row>
    <row r="102" spans="3:10" ht="13" customHeight="1">
      <c r="C102" s="32" t="s">
        <v>183</v>
      </c>
      <c r="E102" s="36"/>
      <c r="H102" s="11">
        <v>0</v>
      </c>
      <c r="J102" s="12">
        <f t="shared" si="6"/>
        <v>0</v>
      </c>
    </row>
    <row r="103" spans="3:10" ht="13" customHeight="1">
      <c r="C103" s="32" t="s">
        <v>184</v>
      </c>
      <c r="E103" s="36"/>
      <c r="H103" s="11">
        <v>0</v>
      </c>
      <c r="J103" s="12">
        <f t="shared" si="6"/>
        <v>0</v>
      </c>
    </row>
    <row r="104" spans="3:10" ht="13" customHeight="1">
      <c r="C104" s="32" t="s">
        <v>185</v>
      </c>
      <c r="E104" s="36"/>
      <c r="H104" s="11">
        <v>0</v>
      </c>
      <c r="J104" s="12">
        <f t="shared" si="6"/>
        <v>0</v>
      </c>
    </row>
    <row r="105" spans="3:10" ht="13" customHeight="1">
      <c r="C105" s="32"/>
      <c r="E105" s="36"/>
      <c r="H105" s="11">
        <v>0</v>
      </c>
      <c r="J105" s="12">
        <f t="shared" si="6"/>
        <v>0</v>
      </c>
    </row>
    <row r="106" spans="3:10" ht="13" customHeight="1">
      <c r="C106" s="32"/>
      <c r="E106" s="36"/>
      <c r="H106" s="11">
        <v>0</v>
      </c>
      <c r="J106" s="12">
        <f t="shared" si="6"/>
        <v>0</v>
      </c>
    </row>
    <row r="107" spans="3:10" ht="13" customHeight="1"/>
    <row r="108" spans="3:10" ht="13" customHeight="1" thickBot="1"/>
    <row r="109" spans="3:10" ht="13.5" thickTop="1">
      <c r="C109" s="31" t="s">
        <v>551</v>
      </c>
      <c r="D109" s="26"/>
      <c r="E109" s="27"/>
      <c r="F109" s="28"/>
      <c r="G109" s="27"/>
      <c r="H109" s="29"/>
      <c r="I109" s="29"/>
      <c r="J109" s="30">
        <f>SUM(J86:J108)</f>
        <v>0</v>
      </c>
    </row>
    <row r="112" spans="3:10" ht="13">
      <c r="D112" s="2"/>
      <c r="E112" s="373"/>
      <c r="F112" s="16" t="s">
        <v>490</v>
      </c>
      <c r="G112" s="13" t="s">
        <v>491</v>
      </c>
      <c r="H112" s="13" t="s">
        <v>2</v>
      </c>
      <c r="I112" s="13" t="s">
        <v>9</v>
      </c>
      <c r="J112" s="17" t="s">
        <v>18</v>
      </c>
    </row>
    <row r="113" spans="3:10" ht="13.5" thickBot="1">
      <c r="C113" s="21" t="s">
        <v>485</v>
      </c>
      <c r="D113" s="22"/>
      <c r="E113" s="23"/>
      <c r="F113" s="24"/>
      <c r="G113" s="23"/>
      <c r="H113" s="25"/>
      <c r="I113" s="25"/>
      <c r="J113" s="25"/>
    </row>
    <row r="114" spans="3:10">
      <c r="C114" s="9" t="s">
        <v>552</v>
      </c>
      <c r="F114" s="15">
        <v>0</v>
      </c>
      <c r="J114" s="12">
        <f>F114*H114</f>
        <v>0</v>
      </c>
    </row>
    <row r="115" spans="3:10">
      <c r="C115" s="9" t="s">
        <v>553</v>
      </c>
      <c r="F115" s="15">
        <v>0</v>
      </c>
      <c r="G115" s="8" t="s">
        <v>0</v>
      </c>
      <c r="H115" s="11">
        <v>0</v>
      </c>
      <c r="I115" s="11">
        <v>200</v>
      </c>
      <c r="J115" s="12">
        <f t="shared" ref="J115:J121" si="7">F115*H115</f>
        <v>0</v>
      </c>
    </row>
    <row r="116" spans="3:10" ht="12.5" customHeight="1">
      <c r="C116" s="9" t="s">
        <v>554</v>
      </c>
      <c r="F116" s="15">
        <v>0</v>
      </c>
      <c r="G116" s="8" t="s">
        <v>7</v>
      </c>
      <c r="H116" s="11">
        <v>0</v>
      </c>
      <c r="I116" s="11">
        <v>5</v>
      </c>
      <c r="J116" s="12">
        <f t="shared" si="7"/>
        <v>0</v>
      </c>
    </row>
    <row r="117" spans="3:10">
      <c r="C117" s="9" t="s">
        <v>555</v>
      </c>
      <c r="F117" s="15">
        <v>0</v>
      </c>
      <c r="G117" s="8" t="s">
        <v>1</v>
      </c>
      <c r="H117" s="11">
        <v>0</v>
      </c>
      <c r="I117" s="11">
        <v>50</v>
      </c>
      <c r="J117" s="12">
        <f t="shared" si="7"/>
        <v>0</v>
      </c>
    </row>
    <row r="118" spans="3:10">
      <c r="C118" s="9" t="s">
        <v>556</v>
      </c>
      <c r="F118" s="15">
        <v>0</v>
      </c>
      <c r="G118" s="8" t="s">
        <v>162</v>
      </c>
      <c r="H118" s="11">
        <v>0</v>
      </c>
      <c r="I118" s="11">
        <v>75</v>
      </c>
      <c r="J118" s="12">
        <f t="shared" si="7"/>
        <v>0</v>
      </c>
    </row>
    <row r="119" spans="3:10">
      <c r="C119" s="9" t="s">
        <v>557</v>
      </c>
      <c r="F119" s="15">
        <v>0</v>
      </c>
      <c r="G119" s="8" t="s">
        <v>164</v>
      </c>
      <c r="H119" s="11">
        <v>0</v>
      </c>
      <c r="I119" s="11">
        <v>250</v>
      </c>
      <c r="J119" s="12">
        <f t="shared" si="7"/>
        <v>0</v>
      </c>
    </row>
    <row r="120" spans="3:10">
      <c r="C120" s="9" t="s">
        <v>558</v>
      </c>
      <c r="F120" s="15">
        <v>0</v>
      </c>
      <c r="G120" s="8" t="s">
        <v>162</v>
      </c>
      <c r="H120" s="11">
        <v>0</v>
      </c>
      <c r="I120" s="11">
        <v>100</v>
      </c>
      <c r="J120" s="12">
        <f t="shared" si="7"/>
        <v>0</v>
      </c>
    </row>
    <row r="121" spans="3:10">
      <c r="C121" s="9" t="s">
        <v>559</v>
      </c>
      <c r="F121" s="15">
        <v>0</v>
      </c>
      <c r="G121" s="8" t="s">
        <v>162</v>
      </c>
      <c r="H121" s="11">
        <v>0</v>
      </c>
      <c r="I121" s="11">
        <v>50</v>
      </c>
      <c r="J121" s="12">
        <f t="shared" si="7"/>
        <v>0</v>
      </c>
    </row>
    <row r="122" spans="3:10" ht="13" customHeight="1"/>
    <row r="123" spans="3:10" ht="13" customHeight="1" thickBot="1"/>
    <row r="124" spans="3:10" ht="13.5" thickTop="1">
      <c r="C124" s="31" t="s">
        <v>560</v>
      </c>
      <c r="D124" s="26"/>
      <c r="E124" s="27"/>
      <c r="F124" s="28"/>
      <c r="G124" s="27"/>
      <c r="H124" s="29"/>
      <c r="I124" s="29"/>
      <c r="J124" s="30">
        <f>SUM(J114:J123)</f>
        <v>0</v>
      </c>
    </row>
    <row r="127" spans="3:10" ht="13">
      <c r="D127" s="2"/>
      <c r="E127" s="373"/>
      <c r="F127" s="16" t="s">
        <v>490</v>
      </c>
      <c r="G127" s="13" t="s">
        <v>491</v>
      </c>
      <c r="H127" s="13" t="s">
        <v>2</v>
      </c>
      <c r="I127" s="13" t="s">
        <v>9</v>
      </c>
      <c r="J127" s="17" t="s">
        <v>18</v>
      </c>
    </row>
    <row r="128" spans="3:10" ht="13.5" thickBot="1">
      <c r="C128" s="422" t="s">
        <v>871</v>
      </c>
      <c r="D128" s="22"/>
      <c r="E128" s="23"/>
      <c r="F128" s="24"/>
      <c r="G128" s="23"/>
      <c r="H128" s="25"/>
      <c r="I128" s="25"/>
      <c r="J128" s="25"/>
    </row>
    <row r="129" spans="3:4">
      <c r="C129" s="9" t="s">
        <v>156</v>
      </c>
      <c r="D129" s="37" t="s">
        <v>486</v>
      </c>
    </row>
    <row r="130" spans="3:4">
      <c r="C130" s="32" t="s">
        <v>157</v>
      </c>
    </row>
    <row r="131" spans="3:4">
      <c r="C131" s="32" t="s">
        <v>561</v>
      </c>
    </row>
    <row r="132" spans="3:4">
      <c r="C132" s="32" t="s">
        <v>161</v>
      </c>
    </row>
    <row r="133" spans="3:4">
      <c r="C133" s="9" t="s">
        <v>165</v>
      </c>
      <c r="D133" s="37" t="s">
        <v>486</v>
      </c>
    </row>
    <row r="134" spans="3:4">
      <c r="C134" s="32" t="s">
        <v>166</v>
      </c>
    </row>
    <row r="135" spans="3:4">
      <c r="C135" s="32" t="s">
        <v>245</v>
      </c>
    </row>
    <row r="136" spans="3:4">
      <c r="C136" s="32" t="s">
        <v>562</v>
      </c>
    </row>
    <row r="137" spans="3:4">
      <c r="C137" s="32" t="s">
        <v>563</v>
      </c>
    </row>
    <row r="138" spans="3:4">
      <c r="C138" s="32" t="s">
        <v>564</v>
      </c>
    </row>
    <row r="139" spans="3:4">
      <c r="C139" s="9" t="s">
        <v>174</v>
      </c>
      <c r="D139" s="37" t="s">
        <v>486</v>
      </c>
    </row>
    <row r="140" spans="3:4">
      <c r="C140" s="32" t="s">
        <v>175</v>
      </c>
    </row>
    <row r="141" spans="3:4">
      <c r="C141" s="32" t="s">
        <v>176</v>
      </c>
    </row>
    <row r="142" spans="3:4">
      <c r="C142" s="32" t="s">
        <v>565</v>
      </c>
    </row>
    <row r="143" spans="3:4">
      <c r="C143" s="32" t="s">
        <v>179</v>
      </c>
    </row>
    <row r="148" spans="3:10" ht="13" thickBot="1"/>
    <row r="149" spans="3:10" ht="13.5" thickTop="1">
      <c r="C149" s="31" t="s">
        <v>566</v>
      </c>
      <c r="D149" s="26"/>
      <c r="E149" s="27"/>
      <c r="F149" s="28"/>
      <c r="G149" s="27"/>
      <c r="H149" s="29"/>
      <c r="I149" s="29"/>
      <c r="J149" s="30">
        <f>ESTIMATE!P42</f>
        <v>185461.39758834432</v>
      </c>
    </row>
  </sheetData>
  <pageMargins left="0.7" right="0.7" top="1.5416666666666667" bottom="0.75" header="0.3" footer="0.3"/>
  <pageSetup paperSize="3" fitToHeight="0" orientation="portrait" horizontalDpi="2400" verticalDpi="2400" r:id="rId1"/>
  <headerFooter>
    <oddHeader>&amp;L&amp;G&amp;R&amp;"Calibri,Bold"&amp;20&amp;U&amp;K559CBEATTACHMENT #4: RFP GENERAL CONDITIONS 
(MUST BE FILLED OUT BY PROPOSERS)</oddHeader>
    <oddFooter>&amp;C&amp;P OF &amp;N</oddFooter>
  </headerFooter>
  <rowBreaks count="1" manualBreakCount="1">
    <brk id="81" min="2" max="9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9580a1-bca8-4321-9b4d-b34d137b8f70" xsi:nil="true"/>
    <lcf76f155ced4ddcb4097134ff3c332f xmlns="a55a1d15-b177-409f-bfb1-1b31702e378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98E6A8556E74DBEF8E2697F53A826" ma:contentTypeVersion="12" ma:contentTypeDescription="Create a new document." ma:contentTypeScope="" ma:versionID="5a7fbb1d5ef2551f5185e1412e96f294">
  <xsd:schema xmlns:xsd="http://www.w3.org/2001/XMLSchema" xmlns:xs="http://www.w3.org/2001/XMLSchema" xmlns:p="http://schemas.microsoft.com/office/2006/metadata/properties" xmlns:ns2="a55a1d15-b177-409f-bfb1-1b31702e378f" xmlns:ns3="c79580a1-bca8-4321-9b4d-b34d137b8f70" targetNamespace="http://schemas.microsoft.com/office/2006/metadata/properties" ma:root="true" ma:fieldsID="a2daff63f085e1ff5fcff908b521e459" ns2:_="" ns3:_="">
    <xsd:import namespace="a55a1d15-b177-409f-bfb1-1b31702e378f"/>
    <xsd:import namespace="c79580a1-bca8-4321-9b4d-b34d137b8f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5a1d15-b177-409f-bfb1-1b31702e37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b091e410-30b5-42d7-8891-bf9f37cefd0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9580a1-bca8-4321-9b4d-b34d137b8f70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8bba4bb-df20-46f2-9605-56432400f141}" ma:internalName="TaxCatchAll" ma:showField="CatchAllData" ma:web="c79580a1-bca8-4321-9b4d-b34d137b8f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S w i f t T o k e n s   x m l n s : x s i = " h t t p : / / w w w . w 3 . o r g / 2 0 0 1 / X M L S c h e m a - i n s t a n c e "   x m l n s : x s d = " h t t p : / / w w w . w 3 . o r g / 2 0 0 1 / X M L S c h e m a " > < T o k e n s / > < / S w i f t T o k e n s > 
</file>

<file path=customXml/itemProps1.xml><?xml version="1.0" encoding="utf-8"?>
<ds:datastoreItem xmlns:ds="http://schemas.openxmlformats.org/officeDocument/2006/customXml" ds:itemID="{992DC033-FE1A-4B22-A078-7358FD5A316E}">
  <ds:schemaRefs>
    <ds:schemaRef ds:uri="c79580a1-bca8-4321-9b4d-b34d137b8f70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purl.org/dc/elements/1.1/"/>
    <ds:schemaRef ds:uri="a55a1d15-b177-409f-bfb1-1b31702e378f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C70C3B-2526-41E5-B308-F1E1A8C5DB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EDE777-4E74-4E85-8B49-C24600A1E6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5a1d15-b177-409f-bfb1-1b31702e378f"/>
    <ds:schemaRef ds:uri="c79580a1-bca8-4321-9b4d-b34d137b8f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DB19C2E-6B35-4C80-AF84-AF6ADB234BA2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37</vt:i4>
      </vt:variant>
    </vt:vector>
  </HeadingPairs>
  <TitlesOfParts>
    <vt:vector size="41" baseType="lpstr">
      <vt:lpstr>RECAP</vt:lpstr>
      <vt:lpstr>ALTERNATES</vt:lpstr>
      <vt:lpstr>ESTIMATE</vt:lpstr>
      <vt:lpstr>RFP GCS</vt:lpstr>
      <vt:lpstr>ALT.1</vt:lpstr>
      <vt:lpstr>ALT.10</vt:lpstr>
      <vt:lpstr>ALT.11</vt:lpstr>
      <vt:lpstr>ALT.12</vt:lpstr>
      <vt:lpstr>ALT.13</vt:lpstr>
      <vt:lpstr>ALT.14</vt:lpstr>
      <vt:lpstr>ALT.15</vt:lpstr>
      <vt:lpstr>ALT.16</vt:lpstr>
      <vt:lpstr>ALT.17</vt:lpstr>
      <vt:lpstr>ALT.18</vt:lpstr>
      <vt:lpstr>ALT.19</vt:lpstr>
      <vt:lpstr>ALT.2</vt:lpstr>
      <vt:lpstr>ALT.20</vt:lpstr>
      <vt:lpstr>ALT.3</vt:lpstr>
      <vt:lpstr>ALT.4</vt:lpstr>
      <vt:lpstr>ALT.5</vt:lpstr>
      <vt:lpstr>ALT.6</vt:lpstr>
      <vt:lpstr>ALT.7</vt:lpstr>
      <vt:lpstr>ALT.8</vt:lpstr>
      <vt:lpstr>ALT.9</vt:lpstr>
      <vt:lpstr>ESTIMATE!DIV_02</vt:lpstr>
      <vt:lpstr>ESTIMATE!DIV_03</vt:lpstr>
      <vt:lpstr>ESTIMATE!DIV_04</vt:lpstr>
      <vt:lpstr>ESTIMATE!DIV_05</vt:lpstr>
      <vt:lpstr>ESTIMATE!DIV_06</vt:lpstr>
      <vt:lpstr>ESTIMATE!DIV_08</vt:lpstr>
      <vt:lpstr>ESTIMATE!DIV_09</vt:lpstr>
      <vt:lpstr>ESTIMATE!DIV_10</vt:lpstr>
      <vt:lpstr>ESTIMATE!DIV_11</vt:lpstr>
      <vt:lpstr>ESTIMATE!DIV_12</vt:lpstr>
      <vt:lpstr>ESTIMATE!DIV_15</vt:lpstr>
      <vt:lpstr>ESTIMATE!DIV_16</vt:lpstr>
      <vt:lpstr>ALTERNATES!Print_Area</vt:lpstr>
      <vt:lpstr>ESTIMATE!Print_Area</vt:lpstr>
      <vt:lpstr>RECAP!Print_Area</vt:lpstr>
      <vt:lpstr>'RFP GCS'!Print_Area</vt:lpstr>
      <vt:lpstr>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Jenifer Batchelder, CPSM</dc:creator>
  <cp:keywords/>
  <dc:description/>
  <cp:lastModifiedBy>Alma Zamora</cp:lastModifiedBy>
  <cp:revision/>
  <cp:lastPrinted>2024-06-08T01:11:59Z</cp:lastPrinted>
  <dcterms:created xsi:type="dcterms:W3CDTF">2000-07-31T21:25:03Z</dcterms:created>
  <dcterms:modified xsi:type="dcterms:W3CDTF">2024-06-08T01:12:04Z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false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{0DB19C2E-6B35-4C80-AF84-AF6ADB234BA2}</vt:lpwstr>
  </property>
  <property fmtid="{D5CDD505-2E9C-101B-9397-08002B2CF9AE}" pid="6" name="ContentTypeId">
    <vt:lpwstr>0x0101000DD98E6A8556E74DBEF8E2697F53A826</vt:lpwstr>
  </property>
  <property fmtid="{D5CDD505-2E9C-101B-9397-08002B2CF9AE}" pid="7" name="MediaServiceImageTags">
    <vt:lpwstr/>
  </property>
</Properties>
</file>